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\Downloads\"/>
    </mc:Choice>
  </mc:AlternateContent>
  <xr:revisionPtr revIDLastSave="0" documentId="13_ncr:1_{11058577-A113-431C-9E53-57237927CE4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Bulletin 2025" sheetId="6" r:id="rId1"/>
  </sheets>
  <definedNames>
    <definedName name="_xlnm.Print_Area" localSheetId="0">'Bulletin 2025'!$A$1:$M$100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55" i="6" l="1"/>
  <c r="F70" i="6" l="1"/>
  <c r="G32" i="6" l="1"/>
  <c r="Z30" i="6" l="1"/>
  <c r="Z27" i="6"/>
  <c r="I23" i="6" l="1"/>
  <c r="F22" i="6"/>
  <c r="I22" i="6" s="1"/>
  <c r="G24" i="6" l="1"/>
  <c r="J32" i="6"/>
  <c r="Z33" i="6"/>
  <c r="J63" i="6" s="1"/>
  <c r="Z32" i="6"/>
  <c r="J62" i="6" s="1"/>
  <c r="Z31" i="6"/>
  <c r="J59" i="6" s="1"/>
  <c r="J60" i="6"/>
  <c r="Z29" i="6"/>
  <c r="J57" i="6"/>
  <c r="Z28" i="6" s="1"/>
  <c r="J70" i="6" l="1"/>
  <c r="G76" i="6" l="1"/>
  <c r="Q71" i="6" l="1"/>
  <c r="O71" i="6"/>
  <c r="U71" i="6" l="1"/>
  <c r="L55" i="6" l="1"/>
  <c r="I55" i="6"/>
  <c r="I24" i="6" l="1"/>
  <c r="G25" i="6" l="1"/>
  <c r="I25" i="6" s="1"/>
  <c r="F26" i="6" s="1"/>
  <c r="I26" i="6" s="1"/>
  <c r="F76" i="6"/>
  <c r="I76" i="6" s="1"/>
  <c r="L70" i="6"/>
  <c r="I27" i="6" l="1"/>
  <c r="D17" i="6" s="1"/>
  <c r="E99" i="6"/>
  <c r="F64" i="6" l="1"/>
  <c r="L64" i="6" s="1"/>
  <c r="F69" i="6"/>
  <c r="D18" i="6"/>
  <c r="P76" i="6"/>
  <c r="J71" i="6"/>
  <c r="F71" i="6" s="1"/>
  <c r="G74" i="6"/>
  <c r="L33" i="6" l="1"/>
  <c r="F57" i="6"/>
  <c r="C99" i="6"/>
  <c r="I81" i="6"/>
  <c r="I80" i="6"/>
  <c r="F38" i="6" l="1"/>
  <c r="L71" i="6"/>
  <c r="L72" i="6" s="1"/>
  <c r="F53" i="6"/>
  <c r="F54" i="6" s="1"/>
  <c r="L54" i="6" s="1"/>
  <c r="F31" i="6"/>
  <c r="L31" i="6" s="1"/>
  <c r="F50" i="6"/>
  <c r="L50" i="6" s="1"/>
  <c r="F40" i="6"/>
  <c r="F45" i="6" s="1"/>
  <c r="F41" i="6"/>
  <c r="F46" i="6" s="1"/>
  <c r="F63" i="6"/>
  <c r="L63" i="6" s="1"/>
  <c r="L57" i="6"/>
  <c r="F58" i="6"/>
  <c r="L58" i="6" s="1"/>
  <c r="F60" i="6"/>
  <c r="L60" i="6" s="1"/>
  <c r="F59" i="6"/>
  <c r="L59" i="6" s="1"/>
  <c r="F61" i="6"/>
  <c r="L61" i="6" s="1"/>
  <c r="F49" i="6"/>
  <c r="L49" i="6" s="1"/>
  <c r="F30" i="6"/>
  <c r="L30" i="6" s="1"/>
  <c r="F35" i="6"/>
  <c r="L35" i="6" s="1"/>
  <c r="F39" i="6"/>
  <c r="P74" i="6"/>
  <c r="L87" i="6" l="1"/>
  <c r="F44" i="6"/>
  <c r="G46" i="6" s="1"/>
  <c r="I46" i="6" s="1"/>
  <c r="F43" i="6"/>
  <c r="L41" i="6"/>
  <c r="I41" i="6"/>
  <c r="L53" i="6"/>
  <c r="I53" i="6"/>
  <c r="I30" i="6"/>
  <c r="I39" i="6"/>
  <c r="L39" i="6"/>
  <c r="L40" i="6"/>
  <c r="I40" i="6"/>
  <c r="F42" i="6"/>
  <c r="I38" i="6"/>
  <c r="L38" i="6"/>
  <c r="L43" i="6" l="1"/>
  <c r="I43" i="6"/>
  <c r="L44" i="6"/>
  <c r="G45" i="6"/>
  <c r="I44" i="6"/>
  <c r="I32" i="6"/>
  <c r="L32" i="6"/>
  <c r="F74" i="6" s="1"/>
  <c r="L42" i="6"/>
  <c r="I42" i="6"/>
  <c r="F62" i="6" l="1"/>
  <c r="I45" i="6"/>
  <c r="G69" i="6" s="1"/>
  <c r="J45" i="6"/>
  <c r="L45" i="6" s="1"/>
  <c r="J46" i="6"/>
  <c r="L46" i="6" s="1"/>
  <c r="F77" i="6"/>
  <c r="I83" i="6" s="1"/>
  <c r="I69" i="6" l="1"/>
  <c r="I74" i="6"/>
  <c r="L62" i="6"/>
  <c r="I75" i="6" l="1"/>
  <c r="L65" i="6"/>
  <c r="L79" i="6" s="1"/>
  <c r="I77" i="6"/>
  <c r="F78" i="6"/>
  <c r="I78" i="6" s="1"/>
  <c r="I82" i="6" l="1"/>
  <c r="F85" i="6"/>
  <c r="I85" i="6" s="1"/>
  <c r="I79" i="6"/>
  <c r="I86" i="6" l="1"/>
  <c r="L88" i="6"/>
</calcChain>
</file>

<file path=xl/sharedStrings.xml><?xml version="1.0" encoding="utf-8"?>
<sst xmlns="http://schemas.openxmlformats.org/spreadsheetml/2006/main" count="147" uniqueCount="141">
  <si>
    <t>Bulletin de PAIE</t>
  </si>
  <si>
    <t>L'unité monétaire utilisée est l'Euro</t>
  </si>
  <si>
    <t>Paye du</t>
  </si>
  <si>
    <t>au</t>
  </si>
  <si>
    <t>Matricule</t>
  </si>
  <si>
    <t>N°Sécurité Sociale</t>
  </si>
  <si>
    <t>Emploi</t>
  </si>
  <si>
    <t>Entrée le</t>
  </si>
  <si>
    <t>Date d'ancienneté</t>
  </si>
  <si>
    <t>Plafond période</t>
  </si>
  <si>
    <t>Heures payées</t>
  </si>
  <si>
    <t>NAF</t>
  </si>
  <si>
    <t>RUBRIQUES</t>
  </si>
  <si>
    <t>BASE</t>
  </si>
  <si>
    <t>TAUX</t>
  </si>
  <si>
    <t>A PAYER</t>
  </si>
  <si>
    <t>Montant</t>
  </si>
  <si>
    <t>TOTAL BRUT</t>
  </si>
  <si>
    <t>Allocations Familiales</t>
  </si>
  <si>
    <t>Contribution solidarité autonomie</t>
  </si>
  <si>
    <t>Salaire de base</t>
  </si>
  <si>
    <t>Assurance chômage</t>
  </si>
  <si>
    <t>AGS</t>
  </si>
  <si>
    <t>Participation formation</t>
  </si>
  <si>
    <t>Net Imposable</t>
  </si>
  <si>
    <t>Total des charges</t>
  </si>
  <si>
    <t>Acompte</t>
  </si>
  <si>
    <t>CHARGES PATRONALES</t>
  </si>
  <si>
    <t>Taux</t>
  </si>
  <si>
    <t>Forfait social</t>
  </si>
  <si>
    <t xml:space="preserve"> +20 salariés</t>
  </si>
  <si>
    <t>Participation Construction</t>
  </si>
  <si>
    <t>Déplafonné</t>
  </si>
  <si>
    <t>Assiette CSG/CRDS</t>
  </si>
  <si>
    <t>minimum 1,5% TA prévoyance décès</t>
  </si>
  <si>
    <t xml:space="preserve"> + 9 salariés Dans certaines villes</t>
  </si>
  <si>
    <t>Versement Transport</t>
  </si>
  <si>
    <t xml:space="preserve"> +10 salariés</t>
  </si>
  <si>
    <t>Complément Allocations Familiales</t>
  </si>
  <si>
    <t>numérateur</t>
  </si>
  <si>
    <t>dénominateur</t>
  </si>
  <si>
    <t>Taux max</t>
  </si>
  <si>
    <t>Contribution dialogue social</t>
  </si>
  <si>
    <t>1% +11 sal</t>
  </si>
  <si>
    <t>0,55 % -11 sal</t>
  </si>
  <si>
    <t>Transport public</t>
  </si>
  <si>
    <t>SMIC</t>
  </si>
  <si>
    <t>Conserver ce bulletin sans limitation de durée</t>
  </si>
  <si>
    <t>Congés payés</t>
  </si>
  <si>
    <t>Acquis N-1</t>
  </si>
  <si>
    <t>En cours d'acquisition N</t>
  </si>
  <si>
    <t>Acquis</t>
  </si>
  <si>
    <t>Pris</t>
  </si>
  <si>
    <t>Restant</t>
  </si>
  <si>
    <t>« Pour plus d’informations, voir la rubrique dédiée au bulletin de paye sur www.service-public.fr »</t>
  </si>
  <si>
    <t>Santé</t>
  </si>
  <si>
    <t>Retraite</t>
  </si>
  <si>
    <t>Assurance Chômage</t>
  </si>
  <si>
    <t>Sécurité Sociale - Maladie, Maternité, Invalidité, Décès</t>
  </si>
  <si>
    <t>Complémentaire Incapacité, Invalidité, Décès</t>
  </si>
  <si>
    <t>Complémentaire Santé</t>
  </si>
  <si>
    <t>Accident du travail/Maladies professionnelles</t>
  </si>
  <si>
    <t>Sécurité Sociale plafonnée</t>
  </si>
  <si>
    <t>Sécurité Sociale déplafonnée</t>
  </si>
  <si>
    <t>Complémentaire tranche 1</t>
  </si>
  <si>
    <t>Complémentaire tranche 2</t>
  </si>
  <si>
    <t>Contribution d'Equilibre Général T1</t>
  </si>
  <si>
    <t>Contribution d'Equilibre Général T2</t>
  </si>
  <si>
    <t>Contribution d'Equilibre Technique</t>
  </si>
  <si>
    <t>Autres contributions dues par l'employeur</t>
  </si>
  <si>
    <t>Cotisations statutaires ou prévues par la CCN</t>
  </si>
  <si>
    <t>Mme</t>
  </si>
  <si>
    <t>Plafond</t>
  </si>
  <si>
    <t>GMP</t>
  </si>
  <si>
    <t>?</t>
  </si>
  <si>
    <t>Ile de France</t>
  </si>
  <si>
    <t>Employée</t>
  </si>
  <si>
    <t xml:space="preserve">Niveau </t>
  </si>
  <si>
    <t>Complément Sécurité Sociale Maladie</t>
  </si>
  <si>
    <t>NET A PAYER AVANT IMPÔT SUR LE REVENU</t>
  </si>
  <si>
    <t>Dont évolution de la rémunération liée à la suppression des cotisations salariales chômage et maladie</t>
  </si>
  <si>
    <t>Total versé par l'employeur</t>
  </si>
  <si>
    <t>Impôt sur le revenu prélevé à la source</t>
  </si>
  <si>
    <t>base</t>
  </si>
  <si>
    <t>taux</t>
  </si>
  <si>
    <t>montant</t>
  </si>
  <si>
    <t>APEC</t>
  </si>
  <si>
    <t>par heure</t>
  </si>
  <si>
    <t>Allègement de cotisations employeur</t>
  </si>
  <si>
    <t>NET PAYE EN EUROS</t>
  </si>
  <si>
    <t>Exonérations patronale sur les HS</t>
  </si>
  <si>
    <t>b</t>
  </si>
  <si>
    <t>Retraite complémentaire T1</t>
  </si>
  <si>
    <t>Retraite complémentaire T2</t>
  </si>
  <si>
    <t>Taxe d'apprentissage</t>
  </si>
  <si>
    <t>Réduction Générale étendue</t>
  </si>
  <si>
    <t>CSG non déductible sur HS</t>
  </si>
  <si>
    <t>Exonération salariale sur les HS</t>
  </si>
  <si>
    <t>Exonération de cotisations Employeur</t>
  </si>
  <si>
    <t>FNAL</t>
  </si>
  <si>
    <t>salariés</t>
  </si>
  <si>
    <t>Fillon</t>
  </si>
  <si>
    <t>TEPA</t>
  </si>
  <si>
    <t>Construction</t>
  </si>
  <si>
    <t>VT</t>
  </si>
  <si>
    <t>Formation</t>
  </si>
  <si>
    <t>IV</t>
  </si>
  <si>
    <t>Coefficient</t>
  </si>
  <si>
    <t>Prime d'ancienneté</t>
  </si>
  <si>
    <t>Classification</t>
  </si>
  <si>
    <t>Famille</t>
  </si>
  <si>
    <t>CSG déductible</t>
  </si>
  <si>
    <t>CSG non déductible</t>
  </si>
  <si>
    <t>CRDS non déductible</t>
  </si>
  <si>
    <t xml:space="preserve">Convention Collective : </t>
  </si>
  <si>
    <t>Absence maladie</t>
  </si>
  <si>
    <t>Complément maladie</t>
  </si>
  <si>
    <t>Heures supplémentaires exo à 25%</t>
  </si>
  <si>
    <t>taux non personnalisé</t>
  </si>
  <si>
    <t xml:space="preserve">Versailles </t>
  </si>
  <si>
    <t xml:space="preserve">Societe des services Dupont </t>
  </si>
  <si>
    <t xml:space="preserve">57 avenue de ainte </t>
  </si>
  <si>
    <t xml:space="preserve">Siret </t>
  </si>
  <si>
    <t>Albert</t>
  </si>
  <si>
    <t>fa</t>
  </si>
  <si>
    <t xml:space="preserve">10 rue de la rue </t>
  </si>
  <si>
    <t>Versailles</t>
  </si>
  <si>
    <t xml:space="preserve">Assistante </t>
  </si>
  <si>
    <t>0000001</t>
  </si>
  <si>
    <t>0000A</t>
  </si>
  <si>
    <t>000 000 000 00000</t>
  </si>
  <si>
    <t xml:space="preserve">liens pour les taux sur le site de l'Urssaf </t>
  </si>
  <si>
    <t>https://www.urssaf.fr/portail/home/taux-et-baremes/taux-de-cotisations/les-employeurs/les-taux-de-cotisations-de-droit.html</t>
  </si>
  <si>
    <t xml:space="preserve">NE PAS MODIFIER LES CASES GRISEES </t>
  </si>
  <si>
    <t xml:space="preserve">SI DANS LE DOUTE UTILISER LES SERVICES GRATUITS DE L URSSAF </t>
  </si>
  <si>
    <t xml:space="preserve">LE TESE </t>
  </si>
  <si>
    <t xml:space="preserve">LE CEA </t>
  </si>
  <si>
    <t>https://www.letese.urssaf.fr/portail/accueil.html</t>
  </si>
  <si>
    <t>https://www.cea.urssaf.fr/portail/accueil.html</t>
  </si>
  <si>
    <t xml:space="preserve">POUR FAIRE VOS BULLETINS DE SALAIRE </t>
  </si>
  <si>
    <t>01/01/n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</si>
</sst>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164" formatCode="0.000%"/>
    <numFmt numFmtId="165" formatCode="0.0000"/>
    <numFmt numFmtId="166" formatCode="0.0%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name val="Calibri"/>
      <family val="2"/>
      <scheme val="minor"/>
    </font>
    <font>
      <b/>
      <sz val="16"/>
      <name val="Calibri"/>
      <family val="2"/>
      <scheme val="minor"/>
    </font>
    <font>
      <sz val="16"/>
      <color theme="0"/>
      <name val="Calibri"/>
      <family val="2"/>
      <scheme val="minor"/>
    </font>
    <font>
      <sz val="14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rgb="FF0070C0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rgb="FF222222"/>
      <name val="Calibri"/>
      <family val="2"/>
      <scheme val="minor"/>
    </font>
    <font>
      <b/>
      <sz val="24"/>
      <name val="Calibri"/>
      <family val="2"/>
      <scheme val="minor"/>
    </font>
    <font>
      <sz val="16"/>
      <color rgb="FF00B050"/>
      <name val="Calibri"/>
      <family val="2"/>
      <scheme val="minor"/>
    </font>
    <font>
      <u/>
      <sz val="16"/>
      <color theme="1"/>
      <name val="Calibri"/>
      <family val="2"/>
      <scheme val="minor"/>
    </font>
    <font>
      <b/>
      <sz val="20"/>
      <color theme="1"/>
      <name val="Abadi Extra Light"/>
      <family val="2"/>
    </font>
    <font>
      <sz val="16"/>
      <name val="Candara"/>
      <family val="2"/>
    </font>
    <font>
      <b/>
      <sz val="16"/>
      <name val="Candara"/>
      <family val="2"/>
    </font>
    <font>
      <sz val="14"/>
      <name val="Candara"/>
      <family val="2"/>
    </font>
    <font>
      <sz val="16"/>
      <color rgb="FF0070C0"/>
      <name val="Candara"/>
      <family val="2"/>
    </font>
    <font>
      <sz val="16"/>
      <color rgb="FF00B050"/>
      <name val="Candara"/>
      <family val="2"/>
    </font>
    <font>
      <b/>
      <sz val="24"/>
      <name val="Cambria"/>
      <family val="1"/>
      <scheme val="major"/>
    </font>
    <font>
      <i/>
      <sz val="16"/>
      <name val="Cambria"/>
      <family val="1"/>
      <scheme val="major"/>
    </font>
    <font>
      <sz val="14"/>
      <name val="Cambria"/>
      <family val="1"/>
      <scheme val="major"/>
    </font>
    <font>
      <sz val="16"/>
      <name val="Cambria"/>
      <family val="1"/>
      <scheme val="major"/>
    </font>
    <font>
      <b/>
      <sz val="16"/>
      <name val="Cambria"/>
      <family val="1"/>
      <scheme val="major"/>
    </font>
    <font>
      <u/>
      <sz val="11"/>
      <color theme="10"/>
      <name val="Calibri"/>
      <family val="2"/>
      <scheme val="minor"/>
    </font>
    <font>
      <sz val="20"/>
      <color rgb="FFFF0000"/>
      <name val="Calibri"/>
      <family val="2"/>
      <scheme val="minor"/>
    </font>
    <font>
      <u/>
      <sz val="20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0.499984740745262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4" fillId="0" borderId="0" applyNumberFormat="0" applyFill="0" applyBorder="0" applyAlignment="0" applyProtection="0"/>
  </cellStyleXfs>
  <cellXfs count="236">
    <xf numFmtId="0" fontId="0" fillId="0" borderId="0" xfId="0"/>
    <xf numFmtId="0" fontId="3" fillId="4" borderId="4" xfId="0" applyFont="1" applyFill="1" applyBorder="1"/>
    <xf numFmtId="0" fontId="2" fillId="4" borderId="4" xfId="0" applyFont="1" applyFill="1" applyBorder="1"/>
    <xf numFmtId="164" fontId="4" fillId="4" borderId="4" xfId="2" applyNumberFormat="1" applyFont="1" applyFill="1" applyBorder="1"/>
    <xf numFmtId="0" fontId="2" fillId="0" borderId="0" xfId="0" applyFont="1"/>
    <xf numFmtId="0" fontId="2" fillId="4" borderId="21" xfId="0" applyFont="1" applyFill="1" applyBorder="1"/>
    <xf numFmtId="0" fontId="3" fillId="4" borderId="0" xfId="0" applyFont="1" applyFill="1"/>
    <xf numFmtId="0" fontId="2" fillId="4" borderId="0" xfId="0" applyFont="1" applyFill="1"/>
    <xf numFmtId="0" fontId="2" fillId="4" borderId="22" xfId="0" applyFont="1" applyFill="1" applyBorder="1"/>
    <xf numFmtId="44" fontId="2" fillId="4" borderId="0" xfId="1" applyFont="1" applyFill="1"/>
    <xf numFmtId="0" fontId="2" fillId="4" borderId="1" xfId="0" applyFont="1" applyFill="1" applyBorder="1"/>
    <xf numFmtId="0" fontId="2" fillId="4" borderId="2" xfId="0" applyFont="1" applyFill="1" applyBorder="1"/>
    <xf numFmtId="0" fontId="2" fillId="4" borderId="7" xfId="0" applyFont="1" applyFill="1" applyBorder="1"/>
    <xf numFmtId="44" fontId="2" fillId="4" borderId="7" xfId="1" applyFont="1" applyFill="1" applyBorder="1"/>
    <xf numFmtId="0" fontId="3" fillId="4" borderId="1" xfId="0" applyFont="1" applyFill="1" applyBorder="1"/>
    <xf numFmtId="0" fontId="3" fillId="4" borderId="2" xfId="0" applyFont="1" applyFill="1" applyBorder="1"/>
    <xf numFmtId="0" fontId="3" fillId="4" borderId="3" xfId="0" applyFont="1" applyFill="1" applyBorder="1"/>
    <xf numFmtId="0" fontId="3" fillId="4" borderId="9" xfId="0" applyFont="1" applyFill="1" applyBorder="1" applyAlignment="1">
      <alignment horizontal="center"/>
    </xf>
    <xf numFmtId="0" fontId="3" fillId="4" borderId="6" xfId="0" applyFont="1" applyFill="1" applyBorder="1"/>
    <xf numFmtId="0" fontId="3" fillId="4" borderId="7" xfId="0" applyFont="1" applyFill="1" applyBorder="1"/>
    <xf numFmtId="0" fontId="3" fillId="4" borderId="8" xfId="0" applyFont="1" applyFill="1" applyBorder="1"/>
    <xf numFmtId="0" fontId="3" fillId="4" borderId="11" xfId="0" applyFont="1" applyFill="1" applyBorder="1"/>
    <xf numFmtId="44" fontId="3" fillId="4" borderId="5" xfId="1" applyFont="1" applyFill="1" applyBorder="1"/>
    <xf numFmtId="2" fontId="2" fillId="4" borderId="3" xfId="0" applyNumberFormat="1" applyFont="1" applyFill="1" applyBorder="1"/>
    <xf numFmtId="44" fontId="2" fillId="4" borderId="9" xfId="1" applyFont="1" applyFill="1" applyBorder="1"/>
    <xf numFmtId="44" fontId="2" fillId="4" borderId="3" xfId="1" applyFont="1" applyFill="1" applyBorder="1"/>
    <xf numFmtId="0" fontId="3" fillId="4" borderId="21" xfId="0" applyFont="1" applyFill="1" applyBorder="1"/>
    <xf numFmtId="0" fontId="3" fillId="4" borderId="5" xfId="0" applyFont="1" applyFill="1" applyBorder="1"/>
    <xf numFmtId="0" fontId="3" fillId="4" borderId="10" xfId="0" applyFont="1" applyFill="1" applyBorder="1"/>
    <xf numFmtId="44" fontId="3" fillId="4" borderId="0" xfId="1" applyFont="1" applyFill="1"/>
    <xf numFmtId="0" fontId="3" fillId="4" borderId="22" xfId="0" applyFont="1" applyFill="1" applyBorder="1"/>
    <xf numFmtId="0" fontId="3" fillId="0" borderId="0" xfId="0" applyFont="1"/>
    <xf numFmtId="0" fontId="2" fillId="3" borderId="0" xfId="0" applyFont="1" applyFill="1"/>
    <xf numFmtId="164" fontId="2" fillId="4" borderId="4" xfId="2" applyNumberFormat="1" applyFont="1" applyFill="1" applyBorder="1"/>
    <xf numFmtId="44" fontId="2" fillId="4" borderId="5" xfId="1" applyFont="1" applyFill="1" applyBorder="1"/>
    <xf numFmtId="164" fontId="2" fillId="4" borderId="10" xfId="2" applyNumberFormat="1" applyFont="1" applyFill="1" applyBorder="1"/>
    <xf numFmtId="0" fontId="2" fillId="4" borderId="0" xfId="0" applyFont="1" applyFill="1" applyAlignment="1">
      <alignment horizontal="left" vertical="top" indent="3" readingOrder="1"/>
    </xf>
    <xf numFmtId="0" fontId="2" fillId="4" borderId="23" xfId="0" applyFont="1" applyFill="1" applyBorder="1"/>
    <xf numFmtId="0" fontId="2" fillId="4" borderId="24" xfId="0" applyFont="1" applyFill="1" applyBorder="1"/>
    <xf numFmtId="44" fontId="2" fillId="4" borderId="24" xfId="1" applyFont="1" applyFill="1" applyBorder="1"/>
    <xf numFmtId="0" fontId="2" fillId="4" borderId="25" xfId="0" applyFont="1" applyFill="1" applyBorder="1"/>
    <xf numFmtId="44" fontId="2" fillId="0" borderId="0" xfId="1" applyFont="1"/>
    <xf numFmtId="0" fontId="7" fillId="4" borderId="21" xfId="0" applyFont="1" applyFill="1" applyBorder="1"/>
    <xf numFmtId="0" fontId="7" fillId="5" borderId="4" xfId="0" applyFont="1" applyFill="1" applyBorder="1"/>
    <xf numFmtId="0" fontId="7" fillId="5" borderId="0" xfId="0" applyFont="1" applyFill="1"/>
    <xf numFmtId="0" fontId="7" fillId="4" borderId="22" xfId="0" applyFont="1" applyFill="1" applyBorder="1"/>
    <xf numFmtId="0" fontId="7" fillId="0" borderId="0" xfId="0" applyFont="1"/>
    <xf numFmtId="0" fontId="5" fillId="4" borderId="21" xfId="0" applyFont="1" applyFill="1" applyBorder="1"/>
    <xf numFmtId="0" fontId="5" fillId="4" borderId="0" xfId="0" applyFont="1" applyFill="1"/>
    <xf numFmtId="44" fontId="5" fillId="4" borderId="0" xfId="1" applyFont="1" applyFill="1"/>
    <xf numFmtId="0" fontId="5" fillId="4" borderId="22" xfId="0" applyFont="1" applyFill="1" applyBorder="1"/>
    <xf numFmtId="0" fontId="5" fillId="0" borderId="0" xfId="0" applyFont="1"/>
    <xf numFmtId="0" fontId="8" fillId="4" borderId="18" xfId="0" applyFont="1" applyFill="1" applyBorder="1"/>
    <xf numFmtId="0" fontId="8" fillId="4" borderId="19" xfId="0" applyFont="1" applyFill="1" applyBorder="1"/>
    <xf numFmtId="44" fontId="8" fillId="4" borderId="19" xfId="1" applyFont="1" applyFill="1" applyBorder="1"/>
    <xf numFmtId="0" fontId="8" fillId="4" borderId="20" xfId="0" applyFont="1" applyFill="1" applyBorder="1"/>
    <xf numFmtId="0" fontId="8" fillId="0" borderId="0" xfId="0" applyFont="1"/>
    <xf numFmtId="0" fontId="8" fillId="4" borderId="21" xfId="0" applyFont="1" applyFill="1" applyBorder="1"/>
    <xf numFmtId="0" fontId="8" fillId="4" borderId="0" xfId="0" applyFont="1" applyFill="1"/>
    <xf numFmtId="0" fontId="6" fillId="4" borderId="1" xfId="0" applyFont="1" applyFill="1" applyBorder="1"/>
    <xf numFmtId="44" fontId="8" fillId="4" borderId="2" xfId="1" applyFont="1" applyFill="1" applyBorder="1"/>
    <xf numFmtId="0" fontId="8" fillId="4" borderId="2" xfId="0" applyFont="1" applyFill="1" applyBorder="1"/>
    <xf numFmtId="44" fontId="8" fillId="4" borderId="3" xfId="1" applyFont="1" applyFill="1" applyBorder="1"/>
    <xf numFmtId="0" fontId="8" fillId="4" borderId="22" xfId="0" applyFont="1" applyFill="1" applyBorder="1"/>
    <xf numFmtId="0" fontId="9" fillId="0" borderId="4" xfId="0" applyFont="1" applyBorder="1"/>
    <xf numFmtId="44" fontId="8" fillId="4" borderId="0" xfId="1" applyFont="1" applyFill="1"/>
    <xf numFmtId="44" fontId="8" fillId="4" borderId="5" xfId="1" applyFont="1" applyFill="1" applyBorder="1"/>
    <xf numFmtId="44" fontId="8" fillId="0" borderId="0" xfId="1" applyFont="1"/>
    <xf numFmtId="0" fontId="8" fillId="4" borderId="6" xfId="0" applyFont="1" applyFill="1" applyBorder="1" applyAlignment="1">
      <alignment horizontal="left"/>
    </xf>
    <xf numFmtId="44" fontId="8" fillId="4" borderId="7" xfId="1" applyFont="1" applyFill="1" applyBorder="1"/>
    <xf numFmtId="0" fontId="8" fillId="4" borderId="7" xfId="0" applyFont="1" applyFill="1" applyBorder="1"/>
    <xf numFmtId="44" fontId="8" fillId="4" borderId="8" xfId="1" applyFont="1" applyFill="1" applyBorder="1"/>
    <xf numFmtId="0" fontId="8" fillId="4" borderId="1" xfId="0" applyFont="1" applyFill="1" applyBorder="1"/>
    <xf numFmtId="0" fontId="8" fillId="4" borderId="4" xfId="0" applyFont="1" applyFill="1" applyBorder="1"/>
    <xf numFmtId="0" fontId="8" fillId="4" borderId="5" xfId="0" applyFont="1" applyFill="1" applyBorder="1"/>
    <xf numFmtId="12" fontId="8" fillId="4" borderId="0" xfId="0" applyNumberFormat="1" applyFont="1" applyFill="1"/>
    <xf numFmtId="0" fontId="8" fillId="4" borderId="0" xfId="0" applyFont="1" applyFill="1" applyAlignment="1">
      <alignment horizontal="left"/>
    </xf>
    <xf numFmtId="44" fontId="6" fillId="4" borderId="2" xfId="1" applyFont="1" applyFill="1" applyBorder="1"/>
    <xf numFmtId="0" fontId="6" fillId="4" borderId="2" xfId="0" applyFont="1" applyFill="1" applyBorder="1"/>
    <xf numFmtId="14" fontId="8" fillId="4" borderId="0" xfId="0" applyNumberFormat="1" applyFont="1" applyFill="1"/>
    <xf numFmtId="2" fontId="8" fillId="4" borderId="0" xfId="0" applyNumberFormat="1" applyFont="1" applyFill="1"/>
    <xf numFmtId="0" fontId="8" fillId="4" borderId="6" xfId="0" applyFont="1" applyFill="1" applyBorder="1"/>
    <xf numFmtId="0" fontId="8" fillId="4" borderId="8" xfId="0" applyFont="1" applyFill="1" applyBorder="1"/>
    <xf numFmtId="0" fontId="10" fillId="4" borderId="21" xfId="0" applyFont="1" applyFill="1" applyBorder="1"/>
    <xf numFmtId="0" fontId="10" fillId="4" borderId="0" xfId="0" applyFont="1" applyFill="1"/>
    <xf numFmtId="0" fontId="10" fillId="4" borderId="22" xfId="0" applyFont="1" applyFill="1" applyBorder="1"/>
    <xf numFmtId="0" fontId="10" fillId="0" borderId="0" xfId="0" applyFont="1"/>
    <xf numFmtId="44" fontId="10" fillId="4" borderId="0" xfId="1" applyFont="1" applyFill="1"/>
    <xf numFmtId="0" fontId="2" fillId="4" borderId="12" xfId="0" applyFont="1" applyFill="1" applyBorder="1"/>
    <xf numFmtId="0" fontId="2" fillId="4" borderId="17" xfId="0" applyFont="1" applyFill="1" applyBorder="1"/>
    <xf numFmtId="44" fontId="2" fillId="4" borderId="26" xfId="1" applyFont="1" applyFill="1" applyBorder="1"/>
    <xf numFmtId="0" fontId="8" fillId="0" borderId="2" xfId="0" applyFont="1" applyBorder="1"/>
    <xf numFmtId="44" fontId="2" fillId="6" borderId="2" xfId="1" applyFont="1" applyFill="1" applyBorder="1"/>
    <xf numFmtId="2" fontId="2" fillId="4" borderId="5" xfId="0" applyNumberFormat="1" applyFont="1" applyFill="1" applyBorder="1"/>
    <xf numFmtId="44" fontId="2" fillId="4" borderId="10" xfId="1" applyFont="1" applyFill="1" applyBorder="1"/>
    <xf numFmtId="44" fontId="2" fillId="6" borderId="0" xfId="1" applyFont="1" applyFill="1"/>
    <xf numFmtId="0" fontId="7" fillId="5" borderId="21" xfId="0" applyFont="1" applyFill="1" applyBorder="1"/>
    <xf numFmtId="0" fontId="7" fillId="5" borderId="22" xfId="0" applyFont="1" applyFill="1" applyBorder="1"/>
    <xf numFmtId="10" fontId="2" fillId="0" borderId="0" xfId="2" applyNumberFormat="1" applyFont="1"/>
    <xf numFmtId="44" fontId="2" fillId="5" borderId="0" xfId="1" applyFont="1" applyFill="1"/>
    <xf numFmtId="0" fontId="2" fillId="5" borderId="0" xfId="0" applyFont="1" applyFill="1"/>
    <xf numFmtId="44" fontId="2" fillId="6" borderId="0" xfId="1" applyFont="1" applyFill="1" applyBorder="1"/>
    <xf numFmtId="0" fontId="2" fillId="0" borderId="22" xfId="0" applyFont="1" applyBorder="1"/>
    <xf numFmtId="44" fontId="2" fillId="0" borderId="0" xfId="0" applyNumberFormat="1" applyFont="1"/>
    <xf numFmtId="165" fontId="2" fillId="0" borderId="0" xfId="2" applyNumberFormat="1" applyFont="1"/>
    <xf numFmtId="0" fontId="2" fillId="5" borderId="4" xfId="0" applyFont="1" applyFill="1" applyBorder="1"/>
    <xf numFmtId="0" fontId="2" fillId="2" borderId="0" xfId="0" applyFont="1" applyFill="1"/>
    <xf numFmtId="44" fontId="2" fillId="2" borderId="0" xfId="0" applyNumberFormat="1" applyFont="1" applyFill="1"/>
    <xf numFmtId="10" fontId="2" fillId="5" borderId="0" xfId="2" applyNumberFormat="1" applyFont="1" applyFill="1"/>
    <xf numFmtId="0" fontId="11" fillId="4" borderId="21" xfId="0" applyFont="1" applyFill="1" applyBorder="1"/>
    <xf numFmtId="0" fontId="11" fillId="5" borderId="4" xfId="0" applyFont="1" applyFill="1" applyBorder="1"/>
    <xf numFmtId="0" fontId="11" fillId="4" borderId="22" xfId="0" applyFont="1" applyFill="1" applyBorder="1"/>
    <xf numFmtId="0" fontId="11" fillId="0" borderId="0" xfId="0" applyFont="1"/>
    <xf numFmtId="10" fontId="2" fillId="0" borderId="0" xfId="0" applyNumberFormat="1" applyFont="1"/>
    <xf numFmtId="0" fontId="12" fillId="4" borderId="0" xfId="0" applyFont="1" applyFill="1" applyAlignment="1">
      <alignment horizontal="left"/>
    </xf>
    <xf numFmtId="0" fontId="13" fillId="4" borderId="0" xfId="0" applyFont="1" applyFill="1"/>
    <xf numFmtId="44" fontId="8" fillId="4" borderId="0" xfId="1" applyFont="1" applyFill="1" applyBorder="1"/>
    <xf numFmtId="44" fontId="2" fillId="0" borderId="0" xfId="1" applyFont="1" applyBorder="1"/>
    <xf numFmtId="0" fontId="2" fillId="0" borderId="0" xfId="0" applyFont="1" applyAlignment="1">
      <alignment horizontal="left"/>
    </xf>
    <xf numFmtId="0" fontId="14" fillId="4" borderId="1" xfId="0" applyFont="1" applyFill="1" applyBorder="1"/>
    <xf numFmtId="0" fontId="14" fillId="4" borderId="2" xfId="0" applyFont="1" applyFill="1" applyBorder="1"/>
    <xf numFmtId="0" fontId="14" fillId="4" borderId="3" xfId="0" applyFont="1" applyFill="1" applyBorder="1"/>
    <xf numFmtId="0" fontId="14" fillId="4" borderId="4" xfId="0" applyFont="1" applyFill="1" applyBorder="1"/>
    <xf numFmtId="0" fontId="14" fillId="4" borderId="0" xfId="0" applyFont="1" applyFill="1"/>
    <xf numFmtId="0" fontId="14" fillId="4" borderId="5" xfId="0" applyFont="1" applyFill="1" applyBorder="1"/>
    <xf numFmtId="0" fontId="15" fillId="4" borderId="4" xfId="0" applyFont="1" applyFill="1" applyBorder="1"/>
    <xf numFmtId="0" fontId="15" fillId="4" borderId="0" xfId="0" applyFont="1" applyFill="1"/>
    <xf numFmtId="0" fontId="15" fillId="4" borderId="5" xfId="0" applyFont="1" applyFill="1" applyBorder="1"/>
    <xf numFmtId="0" fontId="16" fillId="4" borderId="4" xfId="0" applyFont="1" applyFill="1" applyBorder="1"/>
    <xf numFmtId="0" fontId="17" fillId="5" borderId="4" xfId="0" applyFont="1" applyFill="1" applyBorder="1"/>
    <xf numFmtId="0" fontId="17" fillId="5" borderId="0" xfId="0" applyFont="1" applyFill="1"/>
    <xf numFmtId="0" fontId="17" fillId="5" borderId="5" xfId="0" applyFont="1" applyFill="1" applyBorder="1"/>
    <xf numFmtId="0" fontId="18" fillId="5" borderId="4" xfId="0" applyFont="1" applyFill="1" applyBorder="1"/>
    <xf numFmtId="0" fontId="18" fillId="5" borderId="0" xfId="0" applyFont="1" applyFill="1"/>
    <xf numFmtId="0" fontId="14" fillId="5" borderId="4" xfId="0" applyFont="1" applyFill="1" applyBorder="1"/>
    <xf numFmtId="0" fontId="14" fillId="5" borderId="0" xfId="0" applyFont="1" applyFill="1"/>
    <xf numFmtId="0" fontId="14" fillId="5" borderId="5" xfId="0" applyFont="1" applyFill="1" applyBorder="1"/>
    <xf numFmtId="0" fontId="19" fillId="4" borderId="14" xfId="0" applyFont="1" applyFill="1" applyBorder="1"/>
    <xf numFmtId="0" fontId="19" fillId="4" borderId="15" xfId="0" applyFont="1" applyFill="1" applyBorder="1"/>
    <xf numFmtId="0" fontId="20" fillId="4" borderId="14" xfId="0" applyFont="1" applyFill="1" applyBorder="1"/>
    <xf numFmtId="0" fontId="21" fillId="4" borderId="15" xfId="0" applyFont="1" applyFill="1" applyBorder="1"/>
    <xf numFmtId="0" fontId="21" fillId="4" borderId="29" xfId="0" applyFont="1" applyFill="1" applyBorder="1"/>
    <xf numFmtId="0" fontId="23" fillId="4" borderId="31" xfId="0" applyFont="1" applyFill="1" applyBorder="1"/>
    <xf numFmtId="0" fontId="23" fillId="4" borderId="32" xfId="0" applyFont="1" applyFill="1" applyBorder="1"/>
    <xf numFmtId="0" fontId="23" fillId="4" borderId="27" xfId="0" applyFont="1" applyFill="1" applyBorder="1"/>
    <xf numFmtId="0" fontId="22" fillId="4" borderId="34" xfId="0" applyFont="1" applyFill="1" applyBorder="1"/>
    <xf numFmtId="0" fontId="22" fillId="4" borderId="35" xfId="0" applyFont="1" applyFill="1" applyBorder="1"/>
    <xf numFmtId="0" fontId="22" fillId="4" borderId="36" xfId="0" applyFont="1" applyFill="1" applyBorder="1"/>
    <xf numFmtId="166" fontId="22" fillId="4" borderId="37" xfId="2" applyNumberFormat="1" applyFont="1" applyFill="1" applyBorder="1"/>
    <xf numFmtId="0" fontId="22" fillId="4" borderId="24" xfId="0" applyFont="1" applyFill="1" applyBorder="1"/>
    <xf numFmtId="0" fontId="23" fillId="4" borderId="14" xfId="0" applyFont="1" applyFill="1" applyBorder="1"/>
    <xf numFmtId="44" fontId="23" fillId="4" borderId="16" xfId="0" applyNumberFormat="1" applyFont="1" applyFill="1" applyBorder="1"/>
    <xf numFmtId="0" fontId="22" fillId="4" borderId="0" xfId="0" applyFont="1" applyFill="1"/>
    <xf numFmtId="0" fontId="22" fillId="4" borderId="28" xfId="0" applyFont="1" applyFill="1" applyBorder="1"/>
    <xf numFmtId="0" fontId="22" fillId="4" borderId="7" xfId="0" applyFont="1" applyFill="1" applyBorder="1"/>
    <xf numFmtId="44" fontId="22" fillId="4" borderId="7" xfId="1" applyFont="1" applyFill="1" applyBorder="1"/>
    <xf numFmtId="0" fontId="22" fillId="4" borderId="12" xfId="0" applyFont="1" applyFill="1" applyBorder="1"/>
    <xf numFmtId="0" fontId="22" fillId="4" borderId="17" xfId="0" applyFont="1" applyFill="1" applyBorder="1"/>
    <xf numFmtId="44" fontId="22" fillId="4" borderId="17" xfId="1" applyFont="1" applyFill="1" applyBorder="1"/>
    <xf numFmtId="44" fontId="2" fillId="6" borderId="10" xfId="1" applyFont="1" applyFill="1" applyBorder="1"/>
    <xf numFmtId="9" fontId="2" fillId="6" borderId="10" xfId="2" applyFont="1" applyFill="1" applyBorder="1"/>
    <xf numFmtId="44" fontId="2" fillId="6" borderId="5" xfId="1" applyFont="1" applyFill="1" applyBorder="1"/>
    <xf numFmtId="164" fontId="4" fillId="6" borderId="5" xfId="2" applyNumberFormat="1" applyFont="1" applyFill="1" applyBorder="1"/>
    <xf numFmtId="0" fontId="4" fillId="6" borderId="4" xfId="0" applyFont="1" applyFill="1" applyBorder="1"/>
    <xf numFmtId="44" fontId="4" fillId="6" borderId="0" xfId="1" applyFont="1" applyFill="1"/>
    <xf numFmtId="164" fontId="4" fillId="6" borderId="4" xfId="2" applyNumberFormat="1" applyFont="1" applyFill="1" applyBorder="1"/>
    <xf numFmtId="0" fontId="2" fillId="6" borderId="0" xfId="0" applyFont="1" applyFill="1"/>
    <xf numFmtId="164" fontId="2" fillId="6" borderId="10" xfId="2" applyNumberFormat="1" applyFont="1" applyFill="1" applyBorder="1"/>
    <xf numFmtId="0" fontId="2" fillId="6" borderId="4" xfId="0" applyFont="1" applyFill="1" applyBorder="1"/>
    <xf numFmtId="44" fontId="7" fillId="6" borderId="5" xfId="1" applyFont="1" applyFill="1" applyBorder="1"/>
    <xf numFmtId="44" fontId="11" fillId="6" borderId="5" xfId="1" applyFont="1" applyFill="1" applyBorder="1"/>
    <xf numFmtId="44" fontId="3" fillId="6" borderId="5" xfId="1" applyFont="1" applyFill="1" applyBorder="1"/>
    <xf numFmtId="44" fontId="2" fillId="6" borderId="8" xfId="1" applyFont="1" applyFill="1" applyBorder="1"/>
    <xf numFmtId="44" fontId="7" fillId="6" borderId="0" xfId="1" applyFont="1" applyFill="1"/>
    <xf numFmtId="44" fontId="3" fillId="6" borderId="0" xfId="1" applyFont="1" applyFill="1"/>
    <xf numFmtId="2" fontId="2" fillId="6" borderId="0" xfId="1" applyNumberFormat="1" applyFont="1" applyFill="1"/>
    <xf numFmtId="0" fontId="3" fillId="6" borderId="0" xfId="1" applyNumberFormat="1" applyFont="1" applyFill="1"/>
    <xf numFmtId="164" fontId="2" fillId="6" borderId="4" xfId="2" applyNumberFormat="1" applyFont="1" applyFill="1" applyBorder="1"/>
    <xf numFmtId="164" fontId="2" fillId="6" borderId="5" xfId="2" applyNumberFormat="1" applyFont="1" applyFill="1" applyBorder="1"/>
    <xf numFmtId="164" fontId="7" fillId="6" borderId="10" xfId="2" applyNumberFormat="1" applyFont="1" applyFill="1" applyBorder="1"/>
    <xf numFmtId="164" fontId="4" fillId="6" borderId="10" xfId="2" applyNumberFormat="1" applyFont="1" applyFill="1" applyBorder="1"/>
    <xf numFmtId="164" fontId="11" fillId="6" borderId="4" xfId="2" applyNumberFormat="1" applyFont="1" applyFill="1" applyBorder="1"/>
    <xf numFmtId="164" fontId="3" fillId="6" borderId="4" xfId="2" applyNumberFormat="1" applyFont="1" applyFill="1" applyBorder="1"/>
    <xf numFmtId="10" fontId="2" fillId="6" borderId="4" xfId="2" applyNumberFormat="1" applyFont="1" applyFill="1" applyBorder="1"/>
    <xf numFmtId="0" fontId="3" fillId="6" borderId="4" xfId="0" applyFont="1" applyFill="1" applyBorder="1"/>
    <xf numFmtId="9" fontId="2" fillId="6" borderId="4" xfId="1" applyNumberFormat="1" applyFont="1" applyFill="1" applyBorder="1"/>
    <xf numFmtId="0" fontId="7" fillId="6" borderId="4" xfId="0" applyFont="1" applyFill="1" applyBorder="1"/>
    <xf numFmtId="0" fontId="11" fillId="6" borderId="4" xfId="0" applyFont="1" applyFill="1" applyBorder="1"/>
    <xf numFmtId="44" fontId="11" fillId="6" borderId="0" xfId="1" applyFont="1" applyFill="1"/>
    <xf numFmtId="44" fontId="19" fillId="6" borderId="16" xfId="0" applyNumberFormat="1" applyFont="1" applyFill="1" applyBorder="1"/>
    <xf numFmtId="44" fontId="22" fillId="6" borderId="30" xfId="1" applyFont="1" applyFill="1" applyBorder="1"/>
    <xf numFmtId="44" fontId="22" fillId="6" borderId="37" xfId="0" applyNumberFormat="1" applyFont="1" applyFill="1" applyBorder="1"/>
    <xf numFmtId="44" fontId="22" fillId="6" borderId="38" xfId="0" applyNumberFormat="1" applyFont="1" applyFill="1" applyBorder="1"/>
    <xf numFmtId="44" fontId="2" fillId="6" borderId="13" xfId="1" applyFont="1" applyFill="1" applyBorder="1"/>
    <xf numFmtId="0" fontId="3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3" fillId="0" borderId="4" xfId="0" applyFont="1" applyBorder="1"/>
    <xf numFmtId="0" fontId="2" fillId="0" borderId="4" xfId="0" applyFont="1" applyBorder="1"/>
    <xf numFmtId="0" fontId="2" fillId="0" borderId="5" xfId="0" applyFont="1" applyBorder="1"/>
    <xf numFmtId="0" fontId="3" fillId="0" borderId="6" xfId="0" applyFont="1" applyBorder="1"/>
    <xf numFmtId="0" fontId="2" fillId="0" borderId="6" xfId="0" applyFont="1" applyBorder="1"/>
    <xf numFmtId="0" fontId="2" fillId="5" borderId="7" xfId="0" applyFont="1" applyFill="1" applyBorder="1"/>
    <xf numFmtId="0" fontId="2" fillId="5" borderId="8" xfId="0" applyFont="1" applyFill="1" applyBorder="1"/>
    <xf numFmtId="0" fontId="7" fillId="6" borderId="0" xfId="0" applyFont="1" applyFill="1"/>
    <xf numFmtId="164" fontId="7" fillId="6" borderId="4" xfId="2" applyNumberFormat="1" applyFont="1" applyFill="1" applyBorder="1"/>
    <xf numFmtId="0" fontId="11" fillId="6" borderId="0" xfId="0" applyFont="1" applyFill="1"/>
    <xf numFmtId="0" fontId="3" fillId="6" borderId="0" xfId="0" applyFont="1" applyFill="1"/>
    <xf numFmtId="165" fontId="2" fillId="6" borderId="4" xfId="0" applyNumberFormat="1" applyFont="1" applyFill="1" applyBorder="1"/>
    <xf numFmtId="44" fontId="2" fillId="6" borderId="4" xfId="1" applyFont="1" applyFill="1" applyBorder="1"/>
    <xf numFmtId="0" fontId="24" fillId="0" borderId="0" xfId="3"/>
    <xf numFmtId="0" fontId="25" fillId="0" borderId="0" xfId="0" applyFont="1"/>
    <xf numFmtId="0" fontId="26" fillId="0" borderId="0" xfId="3" applyFont="1"/>
    <xf numFmtId="0" fontId="7" fillId="0" borderId="2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right"/>
    </xf>
    <xf numFmtId="0" fontId="3" fillId="0" borderId="3" xfId="0" applyFont="1" applyBorder="1" applyAlignment="1">
      <alignment horizontal="right"/>
    </xf>
    <xf numFmtId="49" fontId="8" fillId="4" borderId="2" xfId="0" applyNumberFormat="1" applyFont="1" applyFill="1" applyBorder="1" applyAlignment="1">
      <alignment horizontal="center"/>
    </xf>
    <xf numFmtId="49" fontId="8" fillId="4" borderId="3" xfId="0" applyNumberFormat="1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3" fillId="4" borderId="12" xfId="0" applyFont="1" applyFill="1" applyBorder="1" applyAlignment="1">
      <alignment horizontal="center"/>
    </xf>
    <xf numFmtId="0" fontId="3" fillId="4" borderId="17" xfId="0" applyFont="1" applyFill="1" applyBorder="1" applyAlignment="1">
      <alignment horizontal="center"/>
    </xf>
    <xf numFmtId="0" fontId="3" fillId="4" borderId="13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/>
    </xf>
    <xf numFmtId="12" fontId="8" fillId="4" borderId="0" xfId="0" applyNumberFormat="1" applyFont="1" applyFill="1" applyAlignment="1">
      <alignment horizontal="center"/>
    </xf>
    <xf numFmtId="12" fontId="8" fillId="4" borderId="5" xfId="0" applyNumberFormat="1" applyFont="1" applyFill="1" applyBorder="1" applyAlignment="1">
      <alignment horizontal="center"/>
    </xf>
    <xf numFmtId="49" fontId="8" fillId="4" borderId="0" xfId="1" applyNumberFormat="1" applyFont="1" applyFill="1" applyBorder="1" applyAlignment="1">
      <alignment horizontal="center"/>
    </xf>
    <xf numFmtId="44" fontId="23" fillId="4" borderId="28" xfId="0" applyNumberFormat="1" applyFont="1" applyFill="1" applyBorder="1" applyAlignment="1">
      <alignment horizontal="center"/>
    </xf>
    <xf numFmtId="44" fontId="23" fillId="4" borderId="33" xfId="0" applyNumberFormat="1" applyFont="1" applyFill="1" applyBorder="1" applyAlignment="1">
      <alignment horizontal="center"/>
    </xf>
    <xf numFmtId="0" fontId="23" fillId="4" borderId="14" xfId="0" applyFont="1" applyFill="1" applyBorder="1" applyAlignment="1">
      <alignment horizontal="center"/>
    </xf>
    <xf numFmtId="0" fontId="23" fillId="4" borderId="15" xfId="0" applyFont="1" applyFill="1" applyBorder="1" applyAlignment="1">
      <alignment horizontal="center"/>
    </xf>
    <xf numFmtId="0" fontId="23" fillId="4" borderId="16" xfId="0" applyFont="1" applyFill="1" applyBorder="1" applyAlignment="1">
      <alignment horizontal="center"/>
    </xf>
    <xf numFmtId="0" fontId="6" fillId="7" borderId="0" xfId="0" applyFont="1" applyFill="1"/>
    <xf numFmtId="14" fontId="3" fillId="7" borderId="0" xfId="0" applyNumberFormat="1" applyFont="1" applyFill="1"/>
    <xf numFmtId="0" fontId="6" fillId="7" borderId="0" xfId="0" applyFont="1" applyFill="1" applyAlignment="1">
      <alignment horizontal="center"/>
    </xf>
  </cellXfs>
  <cellStyles count="4">
    <cellStyle name="Currency" xfId="1" builtinId="4"/>
    <cellStyle name="Hyperlink" xfId="3" builtinId="8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ea.urssaf.fr/portail/accueil.html" TargetMode="External"/><Relationship Id="rId2" Type="http://schemas.openxmlformats.org/officeDocument/2006/relationships/hyperlink" Target="https://www.letese.urssaf.fr/portail/accueil.html" TargetMode="External"/><Relationship Id="rId1" Type="http://schemas.openxmlformats.org/officeDocument/2006/relationships/hyperlink" Target="https://www.urssaf.fr/portail/home/taux-et-baremes/taux-de-cotisations/les-employeurs/les-taux-de-cotisations-de-droit.html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E640D9-07F5-49CD-9136-311F5716DBE7}">
  <sheetPr>
    <pageSetUpPr fitToPage="1"/>
  </sheetPr>
  <dimension ref="A1:AA100"/>
  <sheetViews>
    <sheetView tabSelected="1" topLeftCell="C17" zoomScale="70" zoomScaleNormal="70" workbookViewId="0">
      <selection activeCell="D29" sqref="D29"/>
    </sheetView>
  </sheetViews>
  <sheetFormatPr defaultColWidth="11.5703125" defaultRowHeight="21" x14ac:dyDescent="0.35"/>
  <cols>
    <col min="1" max="1" width="4.7109375" style="4" customWidth="1"/>
    <col min="2" max="2" width="11.5703125" style="4"/>
    <col min="3" max="3" width="16.5703125" style="4" bestFit="1" customWidth="1"/>
    <col min="4" max="4" width="34.28515625" style="4" customWidth="1"/>
    <col min="5" max="5" width="16.5703125" style="4" bestFit="1" customWidth="1"/>
    <col min="6" max="6" width="22.7109375" style="4" customWidth="1"/>
    <col min="7" max="7" width="13.140625" style="4" customWidth="1"/>
    <col min="8" max="8" width="13.28515625" style="4" customWidth="1"/>
    <col min="9" max="9" width="27.5703125" style="41" bestFit="1" customWidth="1"/>
    <col min="10" max="10" width="13.140625" style="4" customWidth="1"/>
    <col min="11" max="11" width="11.5703125" style="4"/>
    <col min="12" max="12" width="26.28515625" style="41" customWidth="1"/>
    <col min="13" max="13" width="7.140625" style="4" customWidth="1"/>
    <col min="14" max="22" width="11.5703125" style="4" hidden="1" customWidth="1"/>
    <col min="23" max="25" width="11.5703125" style="4"/>
    <col min="26" max="26" width="16.140625" style="4" bestFit="1" customWidth="1"/>
    <col min="27" max="16384" width="11.5703125" style="4"/>
  </cols>
  <sheetData>
    <row r="1" spans="1:27" s="56" customFormat="1" x14ac:dyDescent="0.35">
      <c r="A1" s="52"/>
      <c r="B1" s="53"/>
      <c r="C1" s="53"/>
      <c r="D1" s="53"/>
      <c r="E1" s="53"/>
      <c r="F1" s="53"/>
      <c r="G1" s="53"/>
      <c r="H1" s="53"/>
      <c r="I1" s="54"/>
      <c r="J1" s="53"/>
      <c r="K1" s="53"/>
      <c r="L1" s="54"/>
      <c r="M1" s="55"/>
    </row>
    <row r="2" spans="1:27" s="56" customFormat="1" ht="25.5" x14ac:dyDescent="0.35">
      <c r="A2" s="57"/>
      <c r="B2" s="115" t="s">
        <v>0</v>
      </c>
      <c r="C2" s="58"/>
      <c r="D2" s="58"/>
      <c r="E2" s="58"/>
      <c r="F2" s="58"/>
      <c r="G2" s="58"/>
      <c r="H2" s="59" t="s">
        <v>120</v>
      </c>
      <c r="I2" s="60"/>
      <c r="J2" s="61"/>
      <c r="K2" s="61"/>
      <c r="L2" s="62"/>
      <c r="M2" s="63"/>
    </row>
    <row r="3" spans="1:27" s="56" customFormat="1" x14ac:dyDescent="0.35">
      <c r="A3" s="57"/>
      <c r="B3" s="233" t="s">
        <v>2</v>
      </c>
      <c r="C3" s="234">
        <v>45658</v>
      </c>
      <c r="D3" s="235" t="s">
        <v>3</v>
      </c>
      <c r="E3" s="234">
        <v>45688</v>
      </c>
      <c r="F3" s="58"/>
      <c r="G3" s="58"/>
      <c r="H3" s="64" t="s">
        <v>121</v>
      </c>
      <c r="I3" s="116"/>
      <c r="J3" s="58"/>
      <c r="K3" s="58"/>
      <c r="L3" s="66"/>
      <c r="M3" s="63"/>
      <c r="P3" s="56" t="s">
        <v>72</v>
      </c>
      <c r="Q3" s="67">
        <v>3353</v>
      </c>
    </row>
    <row r="4" spans="1:27" s="56" customFormat="1" x14ac:dyDescent="0.35">
      <c r="A4" s="57"/>
      <c r="B4" s="114" t="s">
        <v>1</v>
      </c>
      <c r="C4" s="58"/>
      <c r="D4" s="58"/>
      <c r="E4" s="58"/>
      <c r="F4" s="58"/>
      <c r="G4" s="58"/>
      <c r="H4" s="64">
        <v>78000</v>
      </c>
      <c r="I4" s="116" t="s">
        <v>119</v>
      </c>
      <c r="K4" s="58"/>
      <c r="L4" s="66"/>
      <c r="M4" s="63"/>
      <c r="P4" s="56" t="s">
        <v>46</v>
      </c>
      <c r="Q4" s="67">
        <v>10</v>
      </c>
    </row>
    <row r="5" spans="1:27" s="56" customFormat="1" ht="26.25" x14ac:dyDescent="0.4">
      <c r="A5" s="57"/>
      <c r="B5" s="58"/>
      <c r="C5" s="58"/>
      <c r="D5" s="58"/>
      <c r="E5" s="58"/>
      <c r="F5" s="58"/>
      <c r="G5" s="58"/>
      <c r="H5" s="64" t="s">
        <v>122</v>
      </c>
      <c r="I5" s="227" t="s">
        <v>130</v>
      </c>
      <c r="J5" s="227"/>
      <c r="K5" s="58" t="s">
        <v>75</v>
      </c>
      <c r="L5" s="66"/>
      <c r="M5" s="63"/>
      <c r="P5" s="56" t="s">
        <v>73</v>
      </c>
      <c r="Q5" s="56" t="s">
        <v>74</v>
      </c>
      <c r="X5" s="211" t="s">
        <v>133</v>
      </c>
      <c r="Y5" s="211"/>
      <c r="Z5" s="211"/>
      <c r="AA5" s="211"/>
    </row>
    <row r="6" spans="1:27" s="56" customFormat="1" ht="26.25" x14ac:dyDescent="0.4">
      <c r="A6" s="57"/>
      <c r="F6" s="58"/>
      <c r="G6" s="58"/>
      <c r="H6" s="73" t="s">
        <v>11</v>
      </c>
      <c r="I6" s="75" t="s">
        <v>129</v>
      </c>
      <c r="J6" s="58"/>
      <c r="K6" s="58"/>
      <c r="L6" s="66"/>
      <c r="M6" s="63"/>
      <c r="X6" s="211"/>
      <c r="Y6" s="211"/>
      <c r="Z6" s="211"/>
      <c r="AA6" s="211"/>
    </row>
    <row r="7" spans="1:27" s="56" customFormat="1" ht="26.25" x14ac:dyDescent="0.4">
      <c r="A7" s="57"/>
      <c r="B7" s="58"/>
      <c r="C7" s="58"/>
      <c r="D7" s="58"/>
      <c r="E7" s="58"/>
      <c r="F7" s="58"/>
      <c r="G7" s="58"/>
      <c r="H7" s="68"/>
      <c r="I7" s="69"/>
      <c r="J7" s="70"/>
      <c r="K7" s="70"/>
      <c r="L7" s="71"/>
      <c r="M7" s="63"/>
      <c r="X7" s="211" t="s">
        <v>134</v>
      </c>
      <c r="Y7" s="211"/>
      <c r="Z7" s="211"/>
      <c r="AA7" s="211"/>
    </row>
    <row r="8" spans="1:27" s="56" customFormat="1" ht="26.25" x14ac:dyDescent="0.4">
      <c r="A8" s="57"/>
      <c r="B8" s="72" t="s">
        <v>4</v>
      </c>
      <c r="C8" s="61"/>
      <c r="D8" s="217" t="s">
        <v>128</v>
      </c>
      <c r="E8" s="218"/>
      <c r="F8" s="58"/>
      <c r="G8" s="58"/>
      <c r="H8" s="58"/>
      <c r="I8" s="65"/>
      <c r="J8" s="58"/>
      <c r="K8" s="58"/>
      <c r="L8" s="65"/>
      <c r="M8" s="63"/>
      <c r="X8" s="211" t="s">
        <v>139</v>
      </c>
      <c r="Y8" s="211"/>
      <c r="Z8" s="211"/>
      <c r="AA8" s="211"/>
    </row>
    <row r="9" spans="1:27" s="56" customFormat="1" ht="26.25" x14ac:dyDescent="0.4">
      <c r="A9" s="57"/>
      <c r="B9" s="73" t="s">
        <v>5</v>
      </c>
      <c r="C9" s="58"/>
      <c r="D9" s="225">
        <v>1234567891234</v>
      </c>
      <c r="E9" s="226"/>
      <c r="F9" s="58"/>
      <c r="G9" s="58"/>
      <c r="H9" s="59" t="s">
        <v>71</v>
      </c>
      <c r="I9" s="77" t="s">
        <v>123</v>
      </c>
      <c r="J9" s="78" t="s">
        <v>124</v>
      </c>
      <c r="K9" s="91"/>
      <c r="L9" s="62"/>
      <c r="M9" s="63"/>
      <c r="X9" s="211" t="s">
        <v>135</v>
      </c>
      <c r="Y9" s="212" t="s">
        <v>137</v>
      </c>
      <c r="Z9" s="211"/>
      <c r="AA9" s="211"/>
    </row>
    <row r="10" spans="1:27" s="56" customFormat="1" ht="26.25" x14ac:dyDescent="0.4">
      <c r="A10" s="57"/>
      <c r="B10" s="73" t="s">
        <v>6</v>
      </c>
      <c r="C10" s="58"/>
      <c r="D10" s="58" t="s">
        <v>127</v>
      </c>
      <c r="E10" s="74"/>
      <c r="F10" s="58"/>
      <c r="G10" s="58"/>
      <c r="H10" s="64" t="s">
        <v>125</v>
      </c>
      <c r="I10" s="65"/>
      <c r="J10" s="58"/>
      <c r="K10" s="58"/>
      <c r="L10" s="66"/>
      <c r="M10" s="63"/>
      <c r="X10" s="211"/>
      <c r="Y10" s="211"/>
      <c r="Z10" s="211"/>
      <c r="AA10" s="211"/>
    </row>
    <row r="11" spans="1:27" s="56" customFormat="1" ht="26.25" x14ac:dyDescent="0.4">
      <c r="A11" s="57"/>
      <c r="B11" s="73" t="s">
        <v>109</v>
      </c>
      <c r="C11" s="58"/>
      <c r="D11" s="58" t="s">
        <v>76</v>
      </c>
      <c r="E11" s="74"/>
      <c r="F11" s="58"/>
      <c r="G11" s="58"/>
      <c r="H11" s="73"/>
      <c r="I11" s="65"/>
      <c r="J11" s="58"/>
      <c r="K11" s="58"/>
      <c r="L11" s="66"/>
      <c r="M11" s="63"/>
      <c r="X11" s="211" t="s">
        <v>136</v>
      </c>
      <c r="Y11" s="212" t="s">
        <v>138</v>
      </c>
      <c r="Z11" s="211"/>
      <c r="AA11" s="211"/>
    </row>
    <row r="12" spans="1:27" s="56" customFormat="1" x14ac:dyDescent="0.35">
      <c r="A12" s="57"/>
      <c r="B12" s="73" t="s">
        <v>77</v>
      </c>
      <c r="C12" s="58"/>
      <c r="D12" s="76" t="s">
        <v>106</v>
      </c>
      <c r="E12" s="74"/>
      <c r="F12" s="58"/>
      <c r="G12" s="58"/>
      <c r="H12" s="68">
        <v>78000</v>
      </c>
      <c r="I12" s="69" t="s">
        <v>126</v>
      </c>
      <c r="J12" s="70"/>
      <c r="K12" s="70"/>
      <c r="L12" s="71"/>
      <c r="M12" s="63"/>
    </row>
    <row r="13" spans="1:27" s="56" customFormat="1" x14ac:dyDescent="0.35">
      <c r="A13" s="57"/>
      <c r="B13" s="73" t="s">
        <v>107</v>
      </c>
      <c r="C13" s="58"/>
      <c r="D13" s="76">
        <v>160</v>
      </c>
      <c r="E13" s="74"/>
      <c r="F13" s="58"/>
      <c r="G13" s="58"/>
      <c r="H13" s="58"/>
      <c r="I13" s="75"/>
      <c r="J13" s="75"/>
      <c r="K13" s="75"/>
      <c r="L13" s="75"/>
      <c r="M13" s="63"/>
    </row>
    <row r="14" spans="1:27" s="56" customFormat="1" x14ac:dyDescent="0.35">
      <c r="A14" s="57"/>
      <c r="B14" s="73"/>
      <c r="C14" s="58"/>
      <c r="E14" s="74"/>
      <c r="F14" s="58"/>
      <c r="G14" s="58"/>
      <c r="H14" s="58"/>
      <c r="I14" s="65"/>
      <c r="J14" s="58"/>
      <c r="K14" s="58"/>
      <c r="L14" s="65"/>
      <c r="M14" s="63"/>
    </row>
    <row r="15" spans="1:27" s="56" customFormat="1" x14ac:dyDescent="0.35">
      <c r="A15" s="57"/>
      <c r="B15" s="73" t="s">
        <v>7</v>
      </c>
      <c r="C15" s="58"/>
      <c r="D15" s="79" t="s">
        <v>140</v>
      </c>
      <c r="E15" s="74"/>
      <c r="F15" s="58"/>
      <c r="G15" s="58"/>
      <c r="H15" s="58"/>
      <c r="I15" s="116"/>
      <c r="J15" s="58"/>
      <c r="K15" s="58"/>
      <c r="L15" s="116"/>
      <c r="M15" s="63"/>
    </row>
    <row r="16" spans="1:27" s="56" customFormat="1" x14ac:dyDescent="0.35">
      <c r="A16" s="57"/>
      <c r="B16" s="73" t="s">
        <v>8</v>
      </c>
      <c r="C16" s="58"/>
      <c r="D16" s="79" t="s">
        <v>140</v>
      </c>
      <c r="E16" s="74"/>
      <c r="F16" s="58"/>
      <c r="G16" s="58"/>
      <c r="M16" s="63"/>
    </row>
    <row r="17" spans="1:27" s="56" customFormat="1" x14ac:dyDescent="0.35">
      <c r="A17" s="57"/>
      <c r="B17" s="73" t="s">
        <v>10</v>
      </c>
      <c r="C17" s="58"/>
      <c r="D17" s="80">
        <f>(F22+F24)*I27/SUM(I22:I24)</f>
        <v>151.66666666666666</v>
      </c>
      <c r="E17" s="74"/>
      <c r="F17" s="58"/>
      <c r="G17" s="58"/>
      <c r="M17" s="63"/>
    </row>
    <row r="18" spans="1:27" s="56" customFormat="1" x14ac:dyDescent="0.35">
      <c r="A18" s="57"/>
      <c r="B18" s="81" t="s">
        <v>9</v>
      </c>
      <c r="C18" s="70"/>
      <c r="D18" s="13">
        <f>IF(Z25*D17/(35*52/12)&lt;Z25,Z25*D17/(35*52/12),Z25)</f>
        <v>3428</v>
      </c>
      <c r="E18" s="82"/>
      <c r="F18" s="58"/>
      <c r="G18" s="58"/>
      <c r="M18" s="63"/>
    </row>
    <row r="19" spans="1:27" x14ac:dyDescent="0.35">
      <c r="A19" s="5"/>
      <c r="B19" s="7"/>
      <c r="C19" s="7"/>
      <c r="D19" s="7"/>
      <c r="E19" s="7"/>
      <c r="F19" s="7"/>
      <c r="G19" s="7"/>
      <c r="I19" s="117"/>
      <c r="L19" s="117"/>
      <c r="M19" s="8"/>
    </row>
    <row r="20" spans="1:27" x14ac:dyDescent="0.35">
      <c r="A20" s="5"/>
      <c r="B20" s="14" t="s">
        <v>12</v>
      </c>
      <c r="C20" s="15"/>
      <c r="D20" s="16"/>
      <c r="E20" s="219" t="s">
        <v>13</v>
      </c>
      <c r="F20" s="220"/>
      <c r="G20" s="17" t="s">
        <v>14</v>
      </c>
      <c r="H20" s="219" t="s">
        <v>15</v>
      </c>
      <c r="I20" s="220"/>
      <c r="J20" s="221" t="s">
        <v>27</v>
      </c>
      <c r="K20" s="222"/>
      <c r="L20" s="223"/>
      <c r="M20" s="8"/>
    </row>
    <row r="21" spans="1:27" x14ac:dyDescent="0.35">
      <c r="A21" s="5"/>
      <c r="B21" s="18"/>
      <c r="C21" s="19"/>
      <c r="D21" s="20"/>
      <c r="E21" s="18"/>
      <c r="F21" s="20"/>
      <c r="G21" s="21"/>
      <c r="H21" s="18"/>
      <c r="I21" s="22"/>
      <c r="J21" s="219" t="s">
        <v>16</v>
      </c>
      <c r="K21" s="224"/>
      <c r="L21" s="220"/>
      <c r="M21" s="8"/>
    </row>
    <row r="22" spans="1:27" x14ac:dyDescent="0.35">
      <c r="A22" s="5"/>
      <c r="B22" s="119" t="s">
        <v>20</v>
      </c>
      <c r="C22" s="120"/>
      <c r="D22" s="121"/>
      <c r="E22" s="10"/>
      <c r="F22" s="23">
        <f>35*52/12</f>
        <v>151.66666666666666</v>
      </c>
      <c r="G22" s="24">
        <v>15</v>
      </c>
      <c r="H22" s="10"/>
      <c r="I22" s="92">
        <f>G22*F22</f>
        <v>2275</v>
      </c>
      <c r="J22" s="10"/>
      <c r="K22" s="11"/>
      <c r="L22" s="25"/>
      <c r="M22" s="8"/>
    </row>
    <row r="23" spans="1:27" x14ac:dyDescent="0.35">
      <c r="A23" s="5"/>
      <c r="B23" s="122" t="s">
        <v>108</v>
      </c>
      <c r="C23" s="123"/>
      <c r="D23" s="124"/>
      <c r="E23" s="2"/>
      <c r="F23" s="93">
        <v>0</v>
      </c>
      <c r="G23" s="94">
        <v>0</v>
      </c>
      <c r="H23" s="2"/>
      <c r="I23" s="101">
        <f>G23*F23</f>
        <v>0</v>
      </c>
      <c r="J23" s="2"/>
      <c r="K23" s="7"/>
      <c r="L23" s="34"/>
      <c r="M23" s="8"/>
    </row>
    <row r="24" spans="1:27" x14ac:dyDescent="0.35">
      <c r="A24" s="5"/>
      <c r="B24" s="122" t="s">
        <v>117</v>
      </c>
      <c r="C24" s="123"/>
      <c r="D24" s="124"/>
      <c r="E24" s="2"/>
      <c r="F24" s="93">
        <v>0</v>
      </c>
      <c r="G24" s="159">
        <f>(I22+I23)/F22*1.25</f>
        <v>18.750000000000004</v>
      </c>
      <c r="H24" s="2"/>
      <c r="I24" s="95">
        <f>G24*F24</f>
        <v>0</v>
      </c>
      <c r="J24" s="2"/>
      <c r="K24" s="7"/>
      <c r="L24" s="34"/>
      <c r="M24" s="8"/>
      <c r="Y24" s="4" t="s">
        <v>46</v>
      </c>
      <c r="Z24" s="99">
        <v>11.88</v>
      </c>
      <c r="AA24" s="100" t="s">
        <v>87</v>
      </c>
    </row>
    <row r="25" spans="1:27" x14ac:dyDescent="0.35">
      <c r="A25" s="5"/>
      <c r="B25" s="122" t="s">
        <v>115</v>
      </c>
      <c r="C25" s="123"/>
      <c r="D25" s="124"/>
      <c r="E25" s="2"/>
      <c r="F25" s="93">
        <v>0</v>
      </c>
      <c r="G25" s="159">
        <f>SUM(I22:I24)/(23*7)</f>
        <v>14.130434782608695</v>
      </c>
      <c r="H25" s="2"/>
      <c r="I25" s="95">
        <f>G25*F25</f>
        <v>0</v>
      </c>
      <c r="J25" s="2"/>
      <c r="K25" s="7"/>
      <c r="L25" s="34"/>
      <c r="M25" s="8"/>
      <c r="Y25" s="4" t="s">
        <v>72</v>
      </c>
      <c r="Z25" s="99">
        <v>3428</v>
      </c>
      <c r="AA25" s="100"/>
    </row>
    <row r="26" spans="1:27" x14ac:dyDescent="0.35">
      <c r="A26" s="5"/>
      <c r="B26" s="122" t="s">
        <v>116</v>
      </c>
      <c r="C26" s="123"/>
      <c r="D26" s="124"/>
      <c r="E26" s="2"/>
      <c r="F26" s="34">
        <f>-I25</f>
        <v>0</v>
      </c>
      <c r="G26" s="160">
        <v>0</v>
      </c>
      <c r="H26" s="2"/>
      <c r="I26" s="95">
        <f>G26*F26</f>
        <v>0</v>
      </c>
      <c r="J26" s="2"/>
      <c r="K26" s="7"/>
      <c r="L26" s="34"/>
      <c r="M26" s="8"/>
      <c r="Z26" s="100">
        <v>15</v>
      </c>
      <c r="AA26" s="100" t="s">
        <v>100</v>
      </c>
    </row>
    <row r="27" spans="1:27" s="31" customFormat="1" x14ac:dyDescent="0.35">
      <c r="A27" s="26"/>
      <c r="B27" s="125"/>
      <c r="C27" s="126" t="s">
        <v>17</v>
      </c>
      <c r="D27" s="127"/>
      <c r="E27" s="1"/>
      <c r="F27" s="27"/>
      <c r="G27" s="28"/>
      <c r="H27" s="1"/>
      <c r="I27" s="29">
        <f>SUM(I22:I26)</f>
        <v>2275</v>
      </c>
      <c r="J27" s="1"/>
      <c r="K27" s="6"/>
      <c r="L27" s="22"/>
      <c r="M27" s="30"/>
      <c r="Y27" s="4"/>
      <c r="Z27" s="98">
        <f>IF(Z26&lt;50,0.1%,0.5%)</f>
        <v>1E-3</v>
      </c>
      <c r="AA27" s="4" t="s">
        <v>99</v>
      </c>
    </row>
    <row r="28" spans="1:27" x14ac:dyDescent="0.35">
      <c r="A28" s="5"/>
      <c r="B28" s="122"/>
      <c r="C28" s="123"/>
      <c r="D28" s="123"/>
      <c r="E28" s="2"/>
      <c r="F28" s="9"/>
      <c r="G28" s="33"/>
      <c r="H28" s="2"/>
      <c r="I28" s="9"/>
      <c r="J28" s="33"/>
      <c r="K28" s="7"/>
      <c r="L28" s="34"/>
      <c r="M28" s="8"/>
      <c r="Z28" s="113">
        <f>J30+0.69%+J38+J39+IF(J40&gt;4.72%,4.72%,J40)+J42+J49+J57+J58+J53</f>
        <v>0.32050000000000001</v>
      </c>
      <c r="AA28" s="4" t="s">
        <v>101</v>
      </c>
    </row>
    <row r="29" spans="1:27" x14ac:dyDescent="0.35">
      <c r="A29" s="5"/>
      <c r="B29" s="125" t="s">
        <v>55</v>
      </c>
      <c r="C29" s="123"/>
      <c r="D29" s="123"/>
      <c r="E29" s="2"/>
      <c r="F29" s="9"/>
      <c r="G29" s="33"/>
      <c r="H29" s="2"/>
      <c r="I29" s="9"/>
      <c r="J29" s="33"/>
      <c r="K29" s="7"/>
      <c r="L29" s="34"/>
      <c r="M29" s="8"/>
      <c r="Z29" s="41">
        <f>IF(Z26&lt;20,1.5,0)</f>
        <v>1.5</v>
      </c>
      <c r="AA29" s="4" t="s">
        <v>102</v>
      </c>
    </row>
    <row r="30" spans="1:27" x14ac:dyDescent="0.35">
      <c r="A30" s="5"/>
      <c r="B30" s="128" t="s">
        <v>58</v>
      </c>
      <c r="C30" s="123"/>
      <c r="D30" s="124"/>
      <c r="E30" s="2"/>
      <c r="F30" s="161">
        <f>$I$27</f>
        <v>2275</v>
      </c>
      <c r="G30" s="162">
        <v>0</v>
      </c>
      <c r="H30" s="163"/>
      <c r="I30" s="164">
        <f>-G30*F30</f>
        <v>0</v>
      </c>
      <c r="J30" s="165">
        <v>7.0000000000000007E-2</v>
      </c>
      <c r="K30" s="166"/>
      <c r="L30" s="161">
        <f>J30*F30</f>
        <v>159.25000000000003</v>
      </c>
      <c r="M30" s="8"/>
      <c r="N30" s="32" t="s">
        <v>32</v>
      </c>
      <c r="Z30" s="98">
        <f>IF(Z26&lt;50,0,0.45%)</f>
        <v>0</v>
      </c>
      <c r="AA30" s="4" t="s">
        <v>103</v>
      </c>
    </row>
    <row r="31" spans="1:27" x14ac:dyDescent="0.35">
      <c r="A31" s="5"/>
      <c r="B31" s="128" t="s">
        <v>78</v>
      </c>
      <c r="C31" s="123"/>
      <c r="D31" s="124"/>
      <c r="E31" s="2"/>
      <c r="F31" s="161">
        <f>IF(I27&gt;2.5*Z24*D17,I27,0)</f>
        <v>0</v>
      </c>
      <c r="G31" s="162"/>
      <c r="H31" s="163"/>
      <c r="I31" s="164"/>
      <c r="J31" s="165">
        <v>0.06</v>
      </c>
      <c r="K31" s="166"/>
      <c r="L31" s="161">
        <f>J31*F31</f>
        <v>0</v>
      </c>
      <c r="M31" s="8"/>
      <c r="N31" s="32"/>
      <c r="Z31" s="108">
        <f>IF(Z26&lt;11,0,2.95%)</f>
        <v>2.9500000000000002E-2</v>
      </c>
      <c r="AA31" s="4" t="s">
        <v>104</v>
      </c>
    </row>
    <row r="32" spans="1:27" x14ac:dyDescent="0.35">
      <c r="A32" s="5"/>
      <c r="B32" s="122" t="s">
        <v>59</v>
      </c>
      <c r="C32" s="123"/>
      <c r="D32" s="124"/>
      <c r="E32" s="2"/>
      <c r="F32" s="161">
        <v>0</v>
      </c>
      <c r="G32" s="167">
        <f>1.5%/2</f>
        <v>7.4999999999999997E-3</v>
      </c>
      <c r="H32" s="168"/>
      <c r="I32" s="95">
        <f>-G32*F32</f>
        <v>0</v>
      </c>
      <c r="J32" s="165">
        <f>G32</f>
        <v>7.4999999999999997E-3</v>
      </c>
      <c r="K32" s="166"/>
      <c r="L32" s="161">
        <f>J32*F32</f>
        <v>0</v>
      </c>
      <c r="M32" s="8"/>
      <c r="N32" s="4" t="s">
        <v>34</v>
      </c>
      <c r="Z32" s="98">
        <f>IF(Z26&lt;11,0,8%)</f>
        <v>0.08</v>
      </c>
      <c r="AA32" s="4" t="s">
        <v>29</v>
      </c>
    </row>
    <row r="33" spans="1:27" x14ac:dyDescent="0.35">
      <c r="A33" s="5"/>
      <c r="B33" s="122" t="s">
        <v>60</v>
      </c>
      <c r="C33" s="123"/>
      <c r="D33" s="124"/>
      <c r="E33" s="2"/>
      <c r="F33" s="34"/>
      <c r="G33" s="35"/>
      <c r="H33" s="2"/>
      <c r="I33" s="9">
        <v>0</v>
      </c>
      <c r="J33" s="3"/>
      <c r="K33" s="166"/>
      <c r="L33" s="161">
        <f>-I33</f>
        <v>0</v>
      </c>
      <c r="M33" s="8"/>
      <c r="Z33" s="98">
        <f>IF(Z26&lt;11,0.55%,1%)</f>
        <v>0.01</v>
      </c>
      <c r="AA33" s="4" t="s">
        <v>105</v>
      </c>
    </row>
    <row r="34" spans="1:27" x14ac:dyDescent="0.35">
      <c r="A34" s="5"/>
      <c r="B34" s="122"/>
      <c r="C34" s="123"/>
      <c r="D34" s="123"/>
      <c r="E34" s="2"/>
      <c r="F34" s="95"/>
      <c r="G34" s="177"/>
      <c r="H34" s="168"/>
      <c r="I34" s="95"/>
      <c r="J34" s="165" t="s">
        <v>91</v>
      </c>
      <c r="K34" s="166"/>
      <c r="L34" s="161"/>
      <c r="M34" s="8"/>
    </row>
    <row r="35" spans="1:27" x14ac:dyDescent="0.35">
      <c r="A35" s="5"/>
      <c r="B35" s="125" t="s">
        <v>61</v>
      </c>
      <c r="C35" s="123"/>
      <c r="D35" s="123"/>
      <c r="E35" s="2"/>
      <c r="F35" s="161">
        <f t="shared" ref="F35" si="0">$I$27</f>
        <v>2275</v>
      </c>
      <c r="G35" s="167"/>
      <c r="H35" s="168"/>
      <c r="I35" s="95"/>
      <c r="J35" s="33">
        <v>1.2E-2</v>
      </c>
      <c r="K35" s="166"/>
      <c r="L35" s="161">
        <f>J35*F35</f>
        <v>27.3</v>
      </c>
      <c r="M35" s="8"/>
    </row>
    <row r="36" spans="1:27" x14ac:dyDescent="0.35">
      <c r="A36" s="5"/>
      <c r="B36" s="122"/>
      <c r="C36" s="123"/>
      <c r="D36" s="123"/>
      <c r="E36" s="2"/>
      <c r="F36" s="95"/>
      <c r="G36" s="177"/>
      <c r="H36" s="168"/>
      <c r="I36" s="95"/>
      <c r="J36" s="165"/>
      <c r="K36" s="166"/>
      <c r="L36" s="161"/>
      <c r="M36" s="8"/>
    </row>
    <row r="37" spans="1:27" x14ac:dyDescent="0.35">
      <c r="A37" s="5"/>
      <c r="B37" s="125" t="s">
        <v>56</v>
      </c>
      <c r="C37" s="123"/>
      <c r="D37" s="123"/>
      <c r="E37" s="2"/>
      <c r="F37" s="95"/>
      <c r="G37" s="177"/>
      <c r="H37" s="168"/>
      <c r="I37" s="95"/>
      <c r="J37" s="165"/>
      <c r="K37" s="166"/>
      <c r="L37" s="161"/>
      <c r="M37" s="8"/>
      <c r="Y37" s="4" t="s">
        <v>131</v>
      </c>
    </row>
    <row r="38" spans="1:27" x14ac:dyDescent="0.35">
      <c r="A38" s="5"/>
      <c r="B38" s="122" t="s">
        <v>62</v>
      </c>
      <c r="C38" s="123"/>
      <c r="D38" s="123"/>
      <c r="E38" s="2"/>
      <c r="F38" s="161">
        <f>IF($I$27&lt;=$D$18,$I$27,$D$18)</f>
        <v>2275</v>
      </c>
      <c r="G38" s="178">
        <v>6.9000000000000006E-2</v>
      </c>
      <c r="H38" s="168"/>
      <c r="I38" s="95">
        <f t="shared" ref="I38:I46" si="1">-G38*F38</f>
        <v>-156.97500000000002</v>
      </c>
      <c r="J38" s="165">
        <v>8.5500000000000007E-2</v>
      </c>
      <c r="K38" s="166"/>
      <c r="L38" s="161">
        <f t="shared" ref="L38:L46" si="2">J38*F38</f>
        <v>194.51250000000002</v>
      </c>
      <c r="M38" s="8"/>
      <c r="Y38" s="210" t="s">
        <v>132</v>
      </c>
    </row>
    <row r="39" spans="1:27" x14ac:dyDescent="0.35">
      <c r="A39" s="5"/>
      <c r="B39" s="122" t="s">
        <v>63</v>
      </c>
      <c r="C39" s="123"/>
      <c r="D39" s="123"/>
      <c r="E39" s="2"/>
      <c r="F39" s="161">
        <f>$I$27</f>
        <v>2275</v>
      </c>
      <c r="G39" s="167">
        <v>4.0000000000000001E-3</v>
      </c>
      <c r="H39" s="168"/>
      <c r="I39" s="95">
        <f t="shared" si="1"/>
        <v>-9.1</v>
      </c>
      <c r="J39" s="165">
        <v>1.9E-2</v>
      </c>
      <c r="K39" s="166"/>
      <c r="L39" s="161">
        <f t="shared" si="2"/>
        <v>43.225000000000001</v>
      </c>
      <c r="M39" s="8"/>
    </row>
    <row r="40" spans="1:27" s="44" customFormat="1" hidden="1" x14ac:dyDescent="0.35">
      <c r="A40" s="96"/>
      <c r="B40" s="129" t="s">
        <v>64</v>
      </c>
      <c r="C40" s="130"/>
      <c r="D40" s="131"/>
      <c r="E40" s="43"/>
      <c r="F40" s="169">
        <f>IF(I27&lt;D18,I27,D18)</f>
        <v>2275</v>
      </c>
      <c r="G40" s="179">
        <v>3.15E-2</v>
      </c>
      <c r="H40" s="186"/>
      <c r="I40" s="173">
        <f t="shared" si="1"/>
        <v>-71.662499999999994</v>
      </c>
      <c r="J40" s="165">
        <v>4.7199999999999999E-2</v>
      </c>
      <c r="K40" s="204"/>
      <c r="L40" s="169">
        <f t="shared" si="2"/>
        <v>107.38</v>
      </c>
      <c r="M40" s="97"/>
    </row>
    <row r="41" spans="1:27" s="44" customFormat="1" hidden="1" x14ac:dyDescent="0.35">
      <c r="A41" s="96"/>
      <c r="B41" s="129" t="s">
        <v>65</v>
      </c>
      <c r="C41" s="130"/>
      <c r="D41" s="131"/>
      <c r="E41" s="43"/>
      <c r="F41" s="173">
        <f>IF(I27&gt;D18,I27-D18,0)</f>
        <v>0</v>
      </c>
      <c r="G41" s="179">
        <v>8.6400000000000005E-2</v>
      </c>
      <c r="H41" s="186"/>
      <c r="I41" s="173">
        <f t="shared" si="1"/>
        <v>0</v>
      </c>
      <c r="J41" s="165">
        <v>0.1295</v>
      </c>
      <c r="K41" s="204"/>
      <c r="L41" s="169">
        <f t="shared" si="2"/>
        <v>0</v>
      </c>
      <c r="M41" s="97"/>
    </row>
    <row r="42" spans="1:27" s="44" customFormat="1" hidden="1" x14ac:dyDescent="0.35">
      <c r="A42" s="96"/>
      <c r="B42" s="129" t="s">
        <v>66</v>
      </c>
      <c r="C42" s="130"/>
      <c r="D42" s="131"/>
      <c r="E42" s="43"/>
      <c r="F42" s="169">
        <f>F40</f>
        <v>2275</v>
      </c>
      <c r="G42" s="179">
        <v>8.6E-3</v>
      </c>
      <c r="H42" s="186"/>
      <c r="I42" s="173">
        <f t="shared" si="1"/>
        <v>-19.565000000000001</v>
      </c>
      <c r="J42" s="165">
        <v>1.29E-2</v>
      </c>
      <c r="K42" s="204"/>
      <c r="L42" s="169">
        <f t="shared" si="2"/>
        <v>29.3475</v>
      </c>
      <c r="M42" s="97"/>
    </row>
    <row r="43" spans="1:27" s="44" customFormat="1" hidden="1" x14ac:dyDescent="0.35">
      <c r="A43" s="96"/>
      <c r="B43" s="129" t="s">
        <v>67</v>
      </c>
      <c r="C43" s="130"/>
      <c r="D43" s="131"/>
      <c r="E43" s="43"/>
      <c r="F43" s="169">
        <f>F41</f>
        <v>0</v>
      </c>
      <c r="G43" s="179">
        <v>1.0800000000000001E-2</v>
      </c>
      <c r="H43" s="186"/>
      <c r="I43" s="173">
        <f t="shared" si="1"/>
        <v>0</v>
      </c>
      <c r="J43" s="165">
        <v>1.6199999999999999E-2</v>
      </c>
      <c r="K43" s="204"/>
      <c r="L43" s="169">
        <f t="shared" si="2"/>
        <v>0</v>
      </c>
      <c r="M43" s="97"/>
    </row>
    <row r="44" spans="1:27" s="44" customFormat="1" hidden="1" x14ac:dyDescent="0.35">
      <c r="A44" s="96"/>
      <c r="B44" s="129" t="s">
        <v>68</v>
      </c>
      <c r="C44" s="130"/>
      <c r="D44" s="130"/>
      <c r="E44" s="43"/>
      <c r="F44" s="173">
        <f>IF(F41&gt;0,F40+F41,0)</f>
        <v>0</v>
      </c>
      <c r="G44" s="179">
        <v>1.4E-3</v>
      </c>
      <c r="H44" s="186"/>
      <c r="I44" s="173">
        <f t="shared" si="1"/>
        <v>0</v>
      </c>
      <c r="J44" s="165">
        <v>2.0999999999999999E-3</v>
      </c>
      <c r="K44" s="204"/>
      <c r="L44" s="169">
        <f t="shared" si="2"/>
        <v>0</v>
      </c>
      <c r="M44" s="97"/>
    </row>
    <row r="45" spans="1:27" x14ac:dyDescent="0.35">
      <c r="A45" s="5"/>
      <c r="B45" s="122" t="s">
        <v>92</v>
      </c>
      <c r="C45" s="123"/>
      <c r="D45" s="123"/>
      <c r="E45" s="2"/>
      <c r="F45" s="95">
        <f>F40</f>
        <v>2275</v>
      </c>
      <c r="G45" s="177">
        <f>G40+G42+IF(F44=0,0,G44)</f>
        <v>4.0099999999999997E-2</v>
      </c>
      <c r="H45" s="168"/>
      <c r="I45" s="95">
        <f t="shared" si="1"/>
        <v>-91.227499999999992</v>
      </c>
      <c r="J45" s="165">
        <f>J40+J42+IF(I44=0,0,J44)</f>
        <v>6.0100000000000001E-2</v>
      </c>
      <c r="K45" s="166"/>
      <c r="L45" s="161">
        <f t="shared" si="2"/>
        <v>136.72749999999999</v>
      </c>
      <c r="M45" s="8"/>
    </row>
    <row r="46" spans="1:27" x14ac:dyDescent="0.35">
      <c r="A46" s="5"/>
      <c r="B46" s="122" t="s">
        <v>93</v>
      </c>
      <c r="C46" s="123"/>
      <c r="D46" s="123"/>
      <c r="E46" s="2"/>
      <c r="F46" s="95">
        <f>F41</f>
        <v>0</v>
      </c>
      <c r="G46" s="177">
        <f>G41+G43+IF(F44=0,0,G44)</f>
        <v>9.7200000000000009E-2</v>
      </c>
      <c r="H46" s="168"/>
      <c r="I46" s="95">
        <f t="shared" si="1"/>
        <v>0</v>
      </c>
      <c r="J46" s="165">
        <f>J41+J43+IF(I44=0,0,J44)</f>
        <v>0.1457</v>
      </c>
      <c r="K46" s="166"/>
      <c r="L46" s="161">
        <f t="shared" si="2"/>
        <v>0</v>
      </c>
      <c r="M46" s="8"/>
    </row>
    <row r="47" spans="1:27" x14ac:dyDescent="0.35">
      <c r="A47" s="5"/>
      <c r="B47" s="122"/>
      <c r="C47" s="123"/>
      <c r="D47" s="123"/>
      <c r="E47" s="2"/>
      <c r="F47" s="95"/>
      <c r="G47" s="177"/>
      <c r="H47" s="168"/>
      <c r="I47" s="95"/>
      <c r="J47" s="165"/>
      <c r="K47" s="166"/>
      <c r="L47" s="161"/>
      <c r="M47" s="8"/>
    </row>
    <row r="48" spans="1:27" x14ac:dyDescent="0.35">
      <c r="A48" s="5"/>
      <c r="B48" s="125" t="s">
        <v>110</v>
      </c>
      <c r="C48" s="123"/>
      <c r="D48" s="123"/>
      <c r="E48" s="2"/>
      <c r="F48" s="95"/>
      <c r="G48" s="177"/>
      <c r="H48" s="168"/>
      <c r="I48" s="95"/>
      <c r="J48" s="165"/>
      <c r="K48" s="166"/>
      <c r="L48" s="161"/>
      <c r="M48" s="8"/>
    </row>
    <row r="49" spans="1:16" x14ac:dyDescent="0.35">
      <c r="A49" s="5"/>
      <c r="B49" s="122" t="s">
        <v>18</v>
      </c>
      <c r="C49" s="123"/>
      <c r="D49" s="123"/>
      <c r="E49" s="2"/>
      <c r="F49" s="161">
        <f t="shared" ref="F49" si="3">$I$27</f>
        <v>2275</v>
      </c>
      <c r="G49" s="167"/>
      <c r="H49" s="168"/>
      <c r="I49" s="95"/>
      <c r="J49" s="165">
        <v>3.4500000000000003E-2</v>
      </c>
      <c r="K49" s="166"/>
      <c r="L49" s="161">
        <f>J49*F49</f>
        <v>78.487500000000011</v>
      </c>
      <c r="M49" s="8"/>
    </row>
    <row r="50" spans="1:16" x14ac:dyDescent="0.35">
      <c r="A50" s="5"/>
      <c r="B50" s="122" t="s">
        <v>38</v>
      </c>
      <c r="C50" s="123"/>
      <c r="D50" s="123"/>
      <c r="E50" s="2"/>
      <c r="F50" s="161">
        <f>IF(I27&gt;3.5*Z24*D17,I27,0)</f>
        <v>0</v>
      </c>
      <c r="G50" s="167"/>
      <c r="H50" s="168"/>
      <c r="I50" s="95"/>
      <c r="J50" s="165">
        <v>1.7999999999999999E-2</v>
      </c>
      <c r="K50" s="166"/>
      <c r="L50" s="161">
        <f>J50*F50</f>
        <v>0</v>
      </c>
      <c r="M50" s="8"/>
    </row>
    <row r="51" spans="1:16" x14ac:dyDescent="0.35">
      <c r="A51" s="5"/>
      <c r="B51" s="122"/>
      <c r="C51" s="123"/>
      <c r="D51" s="123"/>
      <c r="E51" s="2"/>
      <c r="F51" s="95"/>
      <c r="G51" s="177"/>
      <c r="H51" s="168"/>
      <c r="I51" s="95"/>
      <c r="J51" s="165"/>
      <c r="K51" s="166"/>
      <c r="L51" s="161"/>
      <c r="M51" s="8"/>
    </row>
    <row r="52" spans="1:16" x14ac:dyDescent="0.35">
      <c r="A52" s="5"/>
      <c r="B52" s="125" t="s">
        <v>57</v>
      </c>
      <c r="C52" s="123"/>
      <c r="D52" s="123"/>
      <c r="E52" s="2"/>
      <c r="F52" s="95"/>
      <c r="G52" s="177"/>
      <c r="H52" s="168"/>
      <c r="I52" s="95"/>
      <c r="J52" s="165"/>
      <c r="K52" s="166"/>
      <c r="L52" s="161"/>
      <c r="M52" s="8"/>
    </row>
    <row r="53" spans="1:16" x14ac:dyDescent="0.35">
      <c r="A53" s="5"/>
      <c r="B53" s="122" t="s">
        <v>21</v>
      </c>
      <c r="C53" s="123"/>
      <c r="D53" s="123"/>
      <c r="E53" s="2"/>
      <c r="F53" s="161">
        <f>IF(I27&lt;4*D18,I27,4*D18)</f>
        <v>2275</v>
      </c>
      <c r="G53" s="180">
        <v>0</v>
      </c>
      <c r="H53" s="163"/>
      <c r="I53" s="164">
        <f>-G53*F53</f>
        <v>0</v>
      </c>
      <c r="J53" s="165">
        <v>4.0500000000000001E-2</v>
      </c>
      <c r="K53" s="166"/>
      <c r="L53" s="161">
        <f>J53*F53</f>
        <v>92.137500000000003</v>
      </c>
      <c r="M53" s="8"/>
    </row>
    <row r="54" spans="1:16" x14ac:dyDescent="0.35">
      <c r="A54" s="5"/>
      <c r="B54" s="122" t="s">
        <v>22</v>
      </c>
      <c r="C54" s="123"/>
      <c r="D54" s="123"/>
      <c r="E54" s="2"/>
      <c r="F54" s="161">
        <f>F53</f>
        <v>2275</v>
      </c>
      <c r="G54" s="167"/>
      <c r="H54" s="168"/>
      <c r="I54" s="95"/>
      <c r="J54" s="165">
        <v>1.5E-3</v>
      </c>
      <c r="K54" s="166"/>
      <c r="L54" s="161">
        <f>J54*F54</f>
        <v>3.4125000000000001</v>
      </c>
      <c r="M54" s="8"/>
    </row>
    <row r="55" spans="1:16" x14ac:dyDescent="0.35">
      <c r="A55" s="5"/>
      <c r="B55" s="122" t="s">
        <v>86</v>
      </c>
      <c r="C55" s="123"/>
      <c r="D55" s="123"/>
      <c r="E55" s="2"/>
      <c r="F55" s="95">
        <f>IF(D11="cadre",F53,0)</f>
        <v>0</v>
      </c>
      <c r="G55" s="167">
        <v>2.4000000000000001E-4</v>
      </c>
      <c r="H55" s="168"/>
      <c r="I55" s="95">
        <f>-G55*F55</f>
        <v>0</v>
      </c>
      <c r="J55" s="165">
        <v>3.6000000000000002E-4</v>
      </c>
      <c r="K55" s="166"/>
      <c r="L55" s="161">
        <f>J55*F55</f>
        <v>0</v>
      </c>
      <c r="M55" s="8"/>
    </row>
    <row r="56" spans="1:16" x14ac:dyDescent="0.35">
      <c r="A56" s="5"/>
      <c r="B56" s="122"/>
      <c r="C56" s="123"/>
      <c r="D56" s="123"/>
      <c r="E56" s="2"/>
      <c r="F56" s="95"/>
      <c r="G56" s="177"/>
      <c r="H56" s="168"/>
      <c r="I56" s="95"/>
      <c r="J56" s="177"/>
      <c r="K56" s="166"/>
      <c r="L56" s="161"/>
      <c r="M56" s="8"/>
    </row>
    <row r="57" spans="1:16" s="46" customFormat="1" hidden="1" x14ac:dyDescent="0.35">
      <c r="A57" s="42"/>
      <c r="B57" s="129" t="s">
        <v>99</v>
      </c>
      <c r="C57" s="130"/>
      <c r="D57" s="131"/>
      <c r="E57" s="43"/>
      <c r="F57" s="169">
        <f>IF(J57=0.1%,IF(I27&lt;D18,I27,D18),I27)</f>
        <v>2275</v>
      </c>
      <c r="G57" s="179"/>
      <c r="H57" s="186"/>
      <c r="I57" s="173"/>
      <c r="J57" s="205">
        <f>Z27</f>
        <v>1E-3</v>
      </c>
      <c r="K57" s="204"/>
      <c r="L57" s="169">
        <f t="shared" ref="L57:L64" si="4">J57*F57</f>
        <v>2.2749999999999999</v>
      </c>
      <c r="M57" s="45"/>
      <c r="N57" s="213"/>
      <c r="O57" s="214"/>
      <c r="P57" s="214"/>
    </row>
    <row r="58" spans="1:16" s="46" customFormat="1" hidden="1" x14ac:dyDescent="0.35">
      <c r="A58" s="42"/>
      <c r="B58" s="129" t="s">
        <v>19</v>
      </c>
      <c r="C58" s="130"/>
      <c r="D58" s="131"/>
      <c r="E58" s="43"/>
      <c r="F58" s="169">
        <f t="shared" ref="F58" si="5">$I$27</f>
        <v>2275</v>
      </c>
      <c r="G58" s="179"/>
      <c r="H58" s="186"/>
      <c r="I58" s="173"/>
      <c r="J58" s="205">
        <v>3.0000000000000001E-3</v>
      </c>
      <c r="K58" s="204"/>
      <c r="L58" s="169">
        <f t="shared" si="4"/>
        <v>6.8250000000000002</v>
      </c>
      <c r="M58" s="45"/>
    </row>
    <row r="59" spans="1:16" s="46" customFormat="1" hidden="1" x14ac:dyDescent="0.35">
      <c r="A59" s="42"/>
      <c r="B59" s="129" t="s">
        <v>36</v>
      </c>
      <c r="C59" s="130"/>
      <c r="D59" s="131"/>
      <c r="E59" s="43"/>
      <c r="F59" s="169">
        <f t="shared" ref="F59:F61" si="6">$I$27</f>
        <v>2275</v>
      </c>
      <c r="G59" s="179"/>
      <c r="H59" s="186"/>
      <c r="I59" s="173"/>
      <c r="J59" s="205">
        <f>Z31</f>
        <v>2.9500000000000002E-2</v>
      </c>
      <c r="K59" s="204"/>
      <c r="L59" s="169">
        <f t="shared" si="4"/>
        <v>67.112500000000011</v>
      </c>
      <c r="M59" s="45"/>
      <c r="N59" s="46" t="s">
        <v>35</v>
      </c>
    </row>
    <row r="60" spans="1:16" s="46" customFormat="1" hidden="1" x14ac:dyDescent="0.35">
      <c r="A60" s="42"/>
      <c r="B60" s="129" t="s">
        <v>31</v>
      </c>
      <c r="C60" s="130"/>
      <c r="D60" s="131"/>
      <c r="E60" s="43"/>
      <c r="F60" s="169">
        <f t="shared" si="6"/>
        <v>2275</v>
      </c>
      <c r="G60" s="179"/>
      <c r="H60" s="186"/>
      <c r="I60" s="173"/>
      <c r="J60" s="205">
        <f>Z30</f>
        <v>0</v>
      </c>
      <c r="K60" s="204"/>
      <c r="L60" s="169">
        <f t="shared" si="4"/>
        <v>0</v>
      </c>
      <c r="M60" s="45"/>
      <c r="N60" s="46" t="s">
        <v>30</v>
      </c>
    </row>
    <row r="61" spans="1:16" s="46" customFormat="1" hidden="1" x14ac:dyDescent="0.35">
      <c r="A61" s="42"/>
      <c r="B61" s="129" t="s">
        <v>42</v>
      </c>
      <c r="C61" s="130"/>
      <c r="D61" s="131"/>
      <c r="E61" s="43"/>
      <c r="F61" s="169">
        <f t="shared" si="6"/>
        <v>2275</v>
      </c>
      <c r="G61" s="179"/>
      <c r="H61" s="186"/>
      <c r="I61" s="173"/>
      <c r="J61" s="205">
        <v>1.6000000000000001E-4</v>
      </c>
      <c r="K61" s="204"/>
      <c r="L61" s="169">
        <f t="shared" si="4"/>
        <v>0.36400000000000005</v>
      </c>
      <c r="M61" s="45"/>
    </row>
    <row r="62" spans="1:16" s="46" customFormat="1" hidden="1" x14ac:dyDescent="0.35">
      <c r="A62" s="42"/>
      <c r="B62" s="129" t="s">
        <v>29</v>
      </c>
      <c r="C62" s="130"/>
      <c r="D62" s="131"/>
      <c r="E62" s="43"/>
      <c r="F62" s="169">
        <f>L32+L33</f>
        <v>0</v>
      </c>
      <c r="G62" s="179"/>
      <c r="H62" s="186"/>
      <c r="I62" s="173"/>
      <c r="J62" s="205">
        <f>Z32</f>
        <v>0.08</v>
      </c>
      <c r="K62" s="204"/>
      <c r="L62" s="169">
        <f t="shared" si="4"/>
        <v>0</v>
      </c>
      <c r="M62" s="45"/>
      <c r="N62" s="46" t="s">
        <v>37</v>
      </c>
    </row>
    <row r="63" spans="1:16" s="46" customFormat="1" hidden="1" x14ac:dyDescent="0.35">
      <c r="A63" s="42"/>
      <c r="B63" s="129" t="s">
        <v>23</v>
      </c>
      <c r="C63" s="130"/>
      <c r="D63" s="131"/>
      <c r="E63" s="43"/>
      <c r="F63" s="169">
        <f>$I$27</f>
        <v>2275</v>
      </c>
      <c r="G63" s="179"/>
      <c r="H63" s="186"/>
      <c r="I63" s="173"/>
      <c r="J63" s="205">
        <f>Z33</f>
        <v>0.01</v>
      </c>
      <c r="K63" s="204"/>
      <c r="L63" s="169">
        <f t="shared" si="4"/>
        <v>22.75</v>
      </c>
      <c r="M63" s="45"/>
      <c r="N63" s="46" t="s">
        <v>44</v>
      </c>
      <c r="P63" s="46" t="s">
        <v>43</v>
      </c>
    </row>
    <row r="64" spans="1:16" s="112" customFormat="1" hidden="1" x14ac:dyDescent="0.35">
      <c r="A64" s="109"/>
      <c r="B64" s="132" t="s">
        <v>94</v>
      </c>
      <c r="C64" s="133"/>
      <c r="D64" s="133"/>
      <c r="E64" s="110"/>
      <c r="F64" s="170">
        <f>I27</f>
        <v>2275</v>
      </c>
      <c r="G64" s="181"/>
      <c r="H64" s="187"/>
      <c r="I64" s="188"/>
      <c r="J64" s="181">
        <v>6.7999999999999996E-3</v>
      </c>
      <c r="K64" s="206"/>
      <c r="L64" s="170">
        <f t="shared" si="4"/>
        <v>15.469999999999999</v>
      </c>
      <c r="M64" s="111"/>
    </row>
    <row r="65" spans="1:24" x14ac:dyDescent="0.35">
      <c r="A65" s="5"/>
      <c r="B65" s="125" t="s">
        <v>69</v>
      </c>
      <c r="C65" s="123"/>
      <c r="D65" s="123"/>
      <c r="E65" s="2"/>
      <c r="F65" s="95"/>
      <c r="G65" s="177"/>
      <c r="H65" s="168"/>
      <c r="I65" s="95"/>
      <c r="J65" s="177"/>
      <c r="K65" s="166"/>
      <c r="L65" s="161">
        <f>L57+L58+L59+L60+L61+L62+L63</f>
        <v>99.32650000000001</v>
      </c>
      <c r="M65" s="8"/>
    </row>
    <row r="66" spans="1:24" x14ac:dyDescent="0.35">
      <c r="A66" s="5"/>
      <c r="B66" s="122"/>
      <c r="C66" s="123"/>
      <c r="D66" s="123"/>
      <c r="E66" s="2"/>
      <c r="F66" s="95"/>
      <c r="G66" s="177"/>
      <c r="H66" s="168"/>
      <c r="I66" s="95"/>
      <c r="J66" s="177"/>
      <c r="K66" s="166"/>
      <c r="L66" s="161"/>
      <c r="M66" s="8"/>
    </row>
    <row r="67" spans="1:24" s="31" customFormat="1" x14ac:dyDescent="0.35">
      <c r="A67" s="26"/>
      <c r="B67" s="125" t="s">
        <v>70</v>
      </c>
      <c r="C67" s="126"/>
      <c r="D67" s="126"/>
      <c r="E67" s="1"/>
      <c r="F67" s="174"/>
      <c r="G67" s="182"/>
      <c r="H67" s="184"/>
      <c r="I67" s="174"/>
      <c r="J67" s="182"/>
      <c r="K67" s="207"/>
      <c r="L67" s="161">
        <v>0</v>
      </c>
      <c r="M67" s="30"/>
    </row>
    <row r="68" spans="1:24" x14ac:dyDescent="0.35">
      <c r="A68" s="5"/>
      <c r="B68" s="122"/>
      <c r="C68" s="123"/>
      <c r="D68" s="123"/>
      <c r="E68" s="2"/>
      <c r="F68" s="95"/>
      <c r="G68" s="177"/>
      <c r="H68" s="168"/>
      <c r="I68" s="95"/>
      <c r="J68" s="177"/>
      <c r="K68" s="166"/>
      <c r="L68" s="161"/>
      <c r="M68" s="8"/>
    </row>
    <row r="69" spans="1:24" x14ac:dyDescent="0.35">
      <c r="A69" s="5"/>
      <c r="B69" s="122" t="s">
        <v>97</v>
      </c>
      <c r="C69" s="123"/>
      <c r="D69" s="123"/>
      <c r="E69" s="2"/>
      <c r="F69" s="95">
        <f>I24*I27/(I22+I23+I24)</f>
        <v>0</v>
      </c>
      <c r="G69" s="183">
        <f>IF(-(I38+I39+I45+I46+I55)/I27&lt;11.31%,-(I38+I39+I45+I46+I55)/I27,11.31%)</f>
        <v>0.11310000000000001</v>
      </c>
      <c r="H69" s="168"/>
      <c r="I69" s="95">
        <f>G69*F69</f>
        <v>0</v>
      </c>
      <c r="J69" s="208"/>
      <c r="K69" s="166"/>
      <c r="L69" s="161"/>
      <c r="M69" s="102"/>
      <c r="Q69" s="103"/>
      <c r="X69" s="104"/>
    </row>
    <row r="70" spans="1:24" hidden="1" x14ac:dyDescent="0.35">
      <c r="A70" s="5"/>
      <c r="B70" s="134" t="s">
        <v>90</v>
      </c>
      <c r="C70" s="135"/>
      <c r="D70" s="135"/>
      <c r="E70" s="105"/>
      <c r="F70" s="175">
        <f>F24</f>
        <v>0</v>
      </c>
      <c r="G70" s="177"/>
      <c r="H70" s="168"/>
      <c r="I70" s="95"/>
      <c r="J70" s="209">
        <f>IF(J57=0.5%,0,1.5)</f>
        <v>1.5</v>
      </c>
      <c r="K70" s="166"/>
      <c r="L70" s="161">
        <f>-F70*J70</f>
        <v>0</v>
      </c>
      <c r="M70" s="8"/>
    </row>
    <row r="71" spans="1:24" hidden="1" x14ac:dyDescent="0.35">
      <c r="A71" s="5"/>
      <c r="B71" s="134" t="s">
        <v>95</v>
      </c>
      <c r="C71" s="135"/>
      <c r="D71" s="136"/>
      <c r="E71" s="105"/>
      <c r="F71" s="161">
        <f>IF(J71&gt;0,I27,0)</f>
        <v>2275</v>
      </c>
      <c r="G71" s="167"/>
      <c r="H71" s="168"/>
      <c r="I71" s="95"/>
      <c r="J71" s="208">
        <f>Z28/0.6*(1.6*Z24*D17/I27-1)</f>
        <v>0.1427293333333334</v>
      </c>
      <c r="K71" s="166"/>
      <c r="L71" s="161">
        <f>-J71*F71</f>
        <v>-324.70923333333349</v>
      </c>
      <c r="M71" s="8"/>
      <c r="N71" s="4" t="s">
        <v>39</v>
      </c>
      <c r="O71" s="106" t="e">
        <f>1.6*D16*Q4</f>
        <v>#VALUE!</v>
      </c>
      <c r="P71" s="4" t="s">
        <v>40</v>
      </c>
      <c r="Q71" s="107">
        <f>I28</f>
        <v>0</v>
      </c>
      <c r="R71" s="4" t="s">
        <v>41</v>
      </c>
      <c r="S71" s="106">
        <v>0.28539999999999999</v>
      </c>
      <c r="T71" s="4" t="s">
        <v>28</v>
      </c>
      <c r="U71" s="4" t="e">
        <f>S71/0.6*(O71/Q71-1)</f>
        <v>#VALUE!</v>
      </c>
      <c r="X71" s="31"/>
    </row>
    <row r="72" spans="1:24" x14ac:dyDescent="0.35">
      <c r="A72" s="5"/>
      <c r="B72" s="125" t="s">
        <v>98</v>
      </c>
      <c r="C72" s="123"/>
      <c r="D72" s="123"/>
      <c r="E72" s="2"/>
      <c r="F72" s="95"/>
      <c r="G72" s="177"/>
      <c r="H72" s="168"/>
      <c r="I72" s="95"/>
      <c r="J72" s="177"/>
      <c r="K72" s="166"/>
      <c r="L72" s="161">
        <f>L70+L71</f>
        <v>-324.70923333333349</v>
      </c>
      <c r="M72" s="8"/>
    </row>
    <row r="73" spans="1:24" x14ac:dyDescent="0.35">
      <c r="A73" s="5"/>
      <c r="B73" s="122"/>
      <c r="C73" s="123"/>
      <c r="D73" s="123"/>
      <c r="E73" s="2"/>
      <c r="F73" s="95"/>
      <c r="G73" s="177"/>
      <c r="H73" s="168"/>
      <c r="I73" s="95"/>
      <c r="J73" s="177"/>
      <c r="K73" s="166"/>
      <c r="L73" s="161"/>
      <c r="M73" s="8"/>
    </row>
    <row r="74" spans="1:24" x14ac:dyDescent="0.35">
      <c r="A74" s="5"/>
      <c r="B74" s="122" t="s">
        <v>111</v>
      </c>
      <c r="C74" s="123"/>
      <c r="D74" s="123"/>
      <c r="E74" s="2"/>
      <c r="F74" s="95">
        <f>(I27-I24)*0.9825+L32+L33</f>
        <v>2235.1875</v>
      </c>
      <c r="G74" s="177">
        <f>5.1%+1.7%</f>
        <v>6.8000000000000005E-2</v>
      </c>
      <c r="H74" s="168"/>
      <c r="I74" s="95">
        <f t="shared" ref="I74" si="7">-G74*F74</f>
        <v>-151.99275</v>
      </c>
      <c r="J74" s="177"/>
      <c r="K74" s="166"/>
      <c r="L74" s="161"/>
      <c r="M74" s="8"/>
      <c r="N74" s="32" t="s">
        <v>33</v>
      </c>
      <c r="P74" s="4" t="e">
        <f>IF(I27&lt;=D15*4,I27*0.9825,4*D15*0.9825)</f>
        <v>#VALUE!</v>
      </c>
    </row>
    <row r="75" spans="1:24" s="31" customFormat="1" x14ac:dyDescent="0.35">
      <c r="A75" s="26"/>
      <c r="B75" s="125" t="s">
        <v>24</v>
      </c>
      <c r="C75" s="126"/>
      <c r="D75" s="126"/>
      <c r="E75" s="1"/>
      <c r="F75" s="176"/>
      <c r="G75" s="184"/>
      <c r="H75" s="184"/>
      <c r="I75" s="174">
        <f>I27-I24+SUM(I29:I74)-I45-I46+L33</f>
        <v>1865.7047499999999</v>
      </c>
      <c r="J75" s="184"/>
      <c r="K75" s="207"/>
      <c r="L75" s="171"/>
      <c r="M75" s="30"/>
    </row>
    <row r="76" spans="1:24" x14ac:dyDescent="0.35">
      <c r="A76" s="5"/>
      <c r="B76" s="122" t="s">
        <v>96</v>
      </c>
      <c r="C76" s="123"/>
      <c r="D76" s="123"/>
      <c r="E76" s="2"/>
      <c r="F76" s="95">
        <f>I24*0.9825</f>
        <v>0</v>
      </c>
      <c r="G76" s="177">
        <f>5.1%+1.7%</f>
        <v>6.8000000000000005E-2</v>
      </c>
      <c r="H76" s="168"/>
      <c r="I76" s="95">
        <f t="shared" ref="I76" si="8">-G76*F76</f>
        <v>0</v>
      </c>
      <c r="J76" s="177"/>
      <c r="K76" s="166"/>
      <c r="L76" s="161"/>
      <c r="M76" s="8"/>
      <c r="N76" s="32" t="s">
        <v>33</v>
      </c>
      <c r="P76" s="4">
        <f>IF(I29&lt;=D17*4,I29*0.9825,4*D17*0.9825)</f>
        <v>0</v>
      </c>
    </row>
    <row r="77" spans="1:24" x14ac:dyDescent="0.35">
      <c r="A77" s="5"/>
      <c r="B77" s="122" t="s">
        <v>112</v>
      </c>
      <c r="C77" s="123"/>
      <c r="D77" s="123"/>
      <c r="E77" s="2"/>
      <c r="F77" s="95">
        <f>I27*0.9825+L32+L33</f>
        <v>2235.1875</v>
      </c>
      <c r="G77" s="177">
        <v>2.4E-2</v>
      </c>
      <c r="H77" s="168"/>
      <c r="I77" s="95">
        <f>-G77*F77</f>
        <v>-53.644500000000001</v>
      </c>
      <c r="J77" s="168"/>
      <c r="K77" s="166"/>
      <c r="L77" s="161"/>
      <c r="M77" s="8"/>
    </row>
    <row r="78" spans="1:24" x14ac:dyDescent="0.35">
      <c r="A78" s="5"/>
      <c r="B78" s="122" t="s">
        <v>113</v>
      </c>
      <c r="C78" s="123"/>
      <c r="D78" s="123"/>
      <c r="E78" s="2"/>
      <c r="F78" s="95">
        <f>F77</f>
        <v>2235.1875</v>
      </c>
      <c r="G78" s="177">
        <v>5.0000000000000001E-3</v>
      </c>
      <c r="H78" s="168"/>
      <c r="I78" s="95">
        <f>-G78*F78</f>
        <v>-11.1759375</v>
      </c>
      <c r="J78" s="168"/>
      <c r="K78" s="166"/>
      <c r="L78" s="161"/>
      <c r="M78" s="8"/>
    </row>
    <row r="79" spans="1:24" s="31" customFormat="1" x14ac:dyDescent="0.35">
      <c r="A79" s="26"/>
      <c r="B79" s="125" t="s">
        <v>25</v>
      </c>
      <c r="C79" s="126"/>
      <c r="D79" s="126"/>
      <c r="E79" s="1"/>
      <c r="F79" s="29"/>
      <c r="G79" s="184"/>
      <c r="H79" s="184"/>
      <c r="I79" s="174">
        <f>SUM(I30:I74)+I77+I78</f>
        <v>-565.3431875</v>
      </c>
      <c r="J79" s="184"/>
      <c r="K79" s="207"/>
      <c r="L79" s="171">
        <f>SUM(L30:L70)-L45-L46-L65</f>
        <v>849.84900000000027</v>
      </c>
      <c r="M79" s="30"/>
    </row>
    <row r="80" spans="1:24" x14ac:dyDescent="0.35">
      <c r="A80" s="5"/>
      <c r="B80" s="122" t="s">
        <v>45</v>
      </c>
      <c r="C80" s="123"/>
      <c r="D80" s="123"/>
      <c r="E80" s="2"/>
      <c r="F80" s="9">
        <v>0</v>
      </c>
      <c r="G80" s="185">
        <v>0.5</v>
      </c>
      <c r="H80" s="168"/>
      <c r="I80" s="95">
        <f>G80*F80</f>
        <v>0</v>
      </c>
      <c r="J80" s="209"/>
      <c r="K80" s="166"/>
      <c r="L80" s="161"/>
      <c r="M80" s="8"/>
    </row>
    <row r="81" spans="1:13" ht="21.75" thickBot="1" x14ac:dyDescent="0.4">
      <c r="A81" s="5"/>
      <c r="B81" s="122" t="s">
        <v>26</v>
      </c>
      <c r="C81" s="123"/>
      <c r="D81" s="123"/>
      <c r="E81" s="2"/>
      <c r="F81" s="34"/>
      <c r="G81" s="2"/>
      <c r="H81" s="2"/>
      <c r="I81" s="90">
        <f>-F81</f>
        <v>0</v>
      </c>
      <c r="J81" s="12"/>
      <c r="K81" s="12"/>
      <c r="L81" s="172"/>
      <c r="M81" s="8"/>
    </row>
    <row r="82" spans="1:13" s="86" customFormat="1" ht="32.25" thickBot="1" x14ac:dyDescent="0.55000000000000004">
      <c r="A82" s="83"/>
      <c r="B82" s="137" t="s">
        <v>79</v>
      </c>
      <c r="C82" s="138"/>
      <c r="D82" s="138"/>
      <c r="E82" s="138"/>
      <c r="F82" s="138"/>
      <c r="G82" s="138"/>
      <c r="H82" s="137"/>
      <c r="I82" s="189">
        <f>I75+I24-L33+I76+I77+I78+I80+I81</f>
        <v>1800.8843124999999</v>
      </c>
      <c r="J82" s="84"/>
      <c r="K82" s="84"/>
      <c r="L82" s="87"/>
      <c r="M82" s="85"/>
    </row>
    <row r="83" spans="1:13" s="51" customFormat="1" thickBot="1" x14ac:dyDescent="0.35">
      <c r="A83" s="47"/>
      <c r="B83" s="139" t="s">
        <v>80</v>
      </c>
      <c r="C83" s="140"/>
      <c r="D83" s="140"/>
      <c r="E83" s="140"/>
      <c r="F83" s="140"/>
      <c r="G83" s="140"/>
      <c r="H83" s="141"/>
      <c r="I83" s="190">
        <f>I27*0.75%+F53*2.4%-F77*1.7%</f>
        <v>33.664312499999994</v>
      </c>
      <c r="J83" s="48"/>
      <c r="K83" s="48"/>
      <c r="L83" s="49"/>
      <c r="M83" s="50"/>
    </row>
    <row r="84" spans="1:13" s="31" customFormat="1" x14ac:dyDescent="0.35">
      <c r="A84" s="26"/>
      <c r="B84" s="142" t="s">
        <v>82</v>
      </c>
      <c r="C84" s="143"/>
      <c r="D84" s="143"/>
      <c r="E84" s="143"/>
      <c r="F84" s="144" t="s">
        <v>83</v>
      </c>
      <c r="G84" s="144" t="s">
        <v>84</v>
      </c>
      <c r="H84" s="228" t="s">
        <v>85</v>
      </c>
      <c r="I84" s="229"/>
      <c r="J84" s="6"/>
      <c r="K84" s="6"/>
      <c r="L84" s="29"/>
      <c r="M84" s="30"/>
    </row>
    <row r="85" spans="1:13" ht="21.75" thickBot="1" x14ac:dyDescent="0.4">
      <c r="A85" s="5"/>
      <c r="B85" s="145" t="s">
        <v>118</v>
      </c>
      <c r="C85" s="146"/>
      <c r="D85" s="146"/>
      <c r="E85" s="147"/>
      <c r="F85" s="191">
        <f>I75</f>
        <v>1865.7047499999999</v>
      </c>
      <c r="G85" s="148">
        <v>0</v>
      </c>
      <c r="H85" s="149"/>
      <c r="I85" s="192">
        <f>-G85*F85</f>
        <v>0</v>
      </c>
      <c r="J85" s="7"/>
      <c r="K85" s="7"/>
      <c r="L85" s="9"/>
      <c r="M85" s="8"/>
    </row>
    <row r="86" spans="1:13" s="31" customFormat="1" ht="21.75" thickBot="1" x14ac:dyDescent="0.4">
      <c r="A86" s="26"/>
      <c r="B86" s="230" t="s">
        <v>89</v>
      </c>
      <c r="C86" s="231"/>
      <c r="D86" s="231"/>
      <c r="E86" s="231"/>
      <c r="F86" s="231"/>
      <c r="G86" s="232"/>
      <c r="H86" s="150"/>
      <c r="I86" s="151">
        <f>I82+I85</f>
        <v>1800.8843124999999</v>
      </c>
      <c r="J86" s="6"/>
      <c r="K86" s="6"/>
      <c r="L86" s="29"/>
      <c r="M86" s="30"/>
    </row>
    <row r="87" spans="1:13" x14ac:dyDescent="0.35">
      <c r="A87" s="5"/>
      <c r="B87" s="152"/>
      <c r="C87" s="152"/>
      <c r="D87" s="152"/>
      <c r="E87" s="152"/>
      <c r="F87" s="152"/>
      <c r="G87" s="153" t="s">
        <v>88</v>
      </c>
      <c r="H87" s="154"/>
      <c r="I87" s="155"/>
      <c r="J87" s="88"/>
      <c r="K87" s="89"/>
      <c r="L87" s="193">
        <f>L72-IF(L50=0,I27*1.8%,0)-IF(L31=0,I27*6%,0)</f>
        <v>-502.15923333333348</v>
      </c>
      <c r="M87" s="8"/>
    </row>
    <row r="88" spans="1:13" x14ac:dyDescent="0.35">
      <c r="A88" s="5"/>
      <c r="B88" s="152"/>
      <c r="C88" s="152"/>
      <c r="D88" s="152"/>
      <c r="E88" s="152"/>
      <c r="F88" s="152"/>
      <c r="G88" s="156" t="s">
        <v>81</v>
      </c>
      <c r="H88" s="157"/>
      <c r="I88" s="158"/>
      <c r="J88" s="88"/>
      <c r="K88" s="89"/>
      <c r="L88" s="193">
        <f>I82-I79+L79</f>
        <v>3216.0765000000001</v>
      </c>
      <c r="M88" s="8"/>
    </row>
    <row r="89" spans="1:13" x14ac:dyDescent="0.35">
      <c r="A89" s="5"/>
      <c r="B89" s="7"/>
      <c r="C89" s="7"/>
      <c r="D89" s="7"/>
      <c r="E89" s="7"/>
      <c r="F89" s="7"/>
      <c r="G89" s="7"/>
      <c r="H89" s="7"/>
      <c r="I89" s="9"/>
      <c r="J89" s="7"/>
      <c r="K89" s="7"/>
      <c r="L89" s="9"/>
      <c r="M89" s="8"/>
    </row>
    <row r="90" spans="1:13" x14ac:dyDescent="0.35">
      <c r="A90" s="5"/>
      <c r="B90" s="7" t="s">
        <v>114</v>
      </c>
      <c r="C90" s="7"/>
      <c r="F90" s="7"/>
      <c r="G90" s="7"/>
      <c r="H90" s="7"/>
      <c r="I90" s="9"/>
      <c r="J90" s="7"/>
      <c r="K90" s="7"/>
      <c r="L90" s="9"/>
      <c r="M90" s="8"/>
    </row>
    <row r="91" spans="1:13" x14ac:dyDescent="0.35">
      <c r="A91" s="5"/>
      <c r="C91" s="7"/>
      <c r="D91" s="118"/>
      <c r="E91" s="7"/>
      <c r="F91" s="7"/>
      <c r="G91" s="7"/>
      <c r="H91" s="7"/>
      <c r="I91" s="7"/>
      <c r="J91" s="7"/>
      <c r="K91" s="7"/>
      <c r="L91" s="9"/>
      <c r="M91" s="8"/>
    </row>
    <row r="92" spans="1:13" x14ac:dyDescent="0.35">
      <c r="A92" s="5"/>
      <c r="B92" s="7" t="s">
        <v>47</v>
      </c>
      <c r="C92" s="7"/>
      <c r="D92" s="7"/>
      <c r="E92" s="7"/>
      <c r="F92" s="7"/>
      <c r="G92" s="7"/>
      <c r="H92" s="7"/>
      <c r="I92" s="9"/>
      <c r="J92" s="7"/>
      <c r="K92" s="7"/>
      <c r="L92" s="9"/>
      <c r="M92" s="8"/>
    </row>
    <row r="93" spans="1:13" x14ac:dyDescent="0.35">
      <c r="A93" s="5"/>
      <c r="B93" s="36" t="s">
        <v>54</v>
      </c>
      <c r="C93" s="7"/>
      <c r="D93" s="7"/>
      <c r="E93" s="7"/>
      <c r="F93" s="7"/>
      <c r="G93" s="7"/>
      <c r="H93" s="7"/>
      <c r="I93" s="9"/>
      <c r="J93" s="7"/>
      <c r="K93" s="7"/>
      <c r="L93" s="9"/>
      <c r="M93" s="8"/>
    </row>
    <row r="94" spans="1:13" x14ac:dyDescent="0.35">
      <c r="A94" s="5"/>
      <c r="B94" s="36"/>
      <c r="C94" s="7"/>
      <c r="D94" s="7"/>
      <c r="E94" s="7"/>
      <c r="F94" s="7"/>
      <c r="G94" s="7"/>
      <c r="H94" s="7"/>
      <c r="I94" s="9"/>
      <c r="J94" s="7"/>
      <c r="K94" s="7"/>
      <c r="L94" s="9"/>
      <c r="M94" s="8"/>
    </row>
    <row r="95" spans="1:13" x14ac:dyDescent="0.35">
      <c r="A95" s="5"/>
      <c r="B95" s="194" t="s">
        <v>48</v>
      </c>
      <c r="C95" s="195"/>
      <c r="D95" s="195"/>
      <c r="E95" s="196"/>
      <c r="F95" s="7"/>
      <c r="G95" s="7"/>
      <c r="H95" s="7"/>
      <c r="I95" s="9"/>
      <c r="J95" s="7"/>
      <c r="K95" s="7"/>
      <c r="L95" s="9"/>
      <c r="M95" s="8"/>
    </row>
    <row r="96" spans="1:13" x14ac:dyDescent="0.35">
      <c r="A96" s="5"/>
      <c r="B96" s="197"/>
      <c r="C96" s="31" t="s">
        <v>49</v>
      </c>
      <c r="D96" s="215" t="s">
        <v>50</v>
      </c>
      <c r="E96" s="216"/>
      <c r="F96" s="7"/>
      <c r="G96" s="7"/>
      <c r="H96" s="7"/>
      <c r="I96" s="9"/>
      <c r="J96" s="7"/>
      <c r="K96" s="7"/>
      <c r="L96" s="9"/>
      <c r="M96" s="8"/>
    </row>
    <row r="97" spans="1:13" x14ac:dyDescent="0.35">
      <c r="A97" s="5"/>
      <c r="B97" s="197" t="s">
        <v>51</v>
      </c>
      <c r="C97" s="4">
        <v>25</v>
      </c>
      <c r="D97" s="198"/>
      <c r="E97" s="199">
        <v>16.64</v>
      </c>
      <c r="F97" s="7"/>
      <c r="G97" s="7"/>
      <c r="H97" s="7"/>
      <c r="I97" s="9"/>
      <c r="J97" s="7"/>
      <c r="K97" s="7"/>
      <c r="L97" s="9"/>
      <c r="M97" s="8"/>
    </row>
    <row r="98" spans="1:13" x14ac:dyDescent="0.35">
      <c r="A98" s="5"/>
      <c r="B98" s="197" t="s">
        <v>52</v>
      </c>
      <c r="C98" s="4">
        <v>24</v>
      </c>
      <c r="D98" s="198"/>
      <c r="E98" s="199">
        <v>0</v>
      </c>
      <c r="F98" s="7"/>
      <c r="G98" s="7"/>
      <c r="H98" s="7"/>
      <c r="I98" s="9"/>
      <c r="J98" s="7"/>
      <c r="K98" s="7"/>
      <c r="L98" s="9"/>
      <c r="M98" s="8"/>
    </row>
    <row r="99" spans="1:13" x14ac:dyDescent="0.35">
      <c r="A99" s="5"/>
      <c r="B99" s="200" t="s">
        <v>53</v>
      </c>
      <c r="C99" s="202">
        <f>C97-C98</f>
        <v>1</v>
      </c>
      <c r="D99" s="201"/>
      <c r="E99" s="203">
        <f>E97-E98</f>
        <v>16.64</v>
      </c>
      <c r="F99" s="7"/>
      <c r="G99" s="7"/>
      <c r="H99" s="7"/>
      <c r="I99" s="9"/>
      <c r="J99" s="7"/>
      <c r="K99" s="7"/>
      <c r="L99" s="9"/>
      <c r="M99" s="8"/>
    </row>
    <row r="100" spans="1:13" ht="21.75" thickBot="1" x14ac:dyDescent="0.4">
      <c r="A100" s="37"/>
      <c r="B100" s="38"/>
      <c r="C100" s="38"/>
      <c r="D100" s="38"/>
      <c r="E100" s="38"/>
      <c r="F100" s="38"/>
      <c r="G100" s="38"/>
      <c r="H100" s="38"/>
      <c r="I100" s="39"/>
      <c r="J100" s="38"/>
      <c r="K100" s="38"/>
      <c r="L100" s="39"/>
      <c r="M100" s="40"/>
    </row>
  </sheetData>
  <mergeCells count="11">
    <mergeCell ref="I5:J5"/>
    <mergeCell ref="H84:I84"/>
    <mergeCell ref="B86:G86"/>
    <mergeCell ref="N57:P57"/>
    <mergeCell ref="D96:E96"/>
    <mergeCell ref="D8:E8"/>
    <mergeCell ref="E20:F20"/>
    <mergeCell ref="H20:I20"/>
    <mergeCell ref="J20:L20"/>
    <mergeCell ref="J21:L21"/>
    <mergeCell ref="D9:E9"/>
  </mergeCells>
  <hyperlinks>
    <hyperlink ref="Y38" r:id="rId1" xr:uid="{33668FDD-A5C3-414A-A192-6A50C71ABBBB}"/>
    <hyperlink ref="Y9" r:id="rId2" xr:uid="{2F48BF19-9B10-44AA-96D4-986B50FFF8C8}"/>
    <hyperlink ref="Y11" r:id="rId3" xr:uid="{56D05203-48C1-4C72-B1B1-29090CD1482A}"/>
  </hyperlinks>
  <pageMargins left="0.7" right="0.7" top="0.75" bottom="0.75" header="0.3" footer="0.3"/>
  <pageSetup paperSize="9" scale="40" orientation="portrait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Bulletin 2025</vt:lpstr>
      <vt:lpstr>'Bulletin 2025'!Print_Area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BulletinsPaie.com</dc:creator>
  <cp:lastModifiedBy>Slimane Ait hammou</cp:lastModifiedBy>
  <cp:lastPrinted>2020-02-12T09:01:12Z</cp:lastPrinted>
  <dcterms:created xsi:type="dcterms:W3CDTF">2012-06-06T13:31:34Z</dcterms:created>
  <dcterms:modified xsi:type="dcterms:W3CDTF">2025-01-05T14:04:28Z</dcterms:modified>
</cp:coreProperties>
</file>